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Web Updates\SEPT 2026\WBTR-3291 PCS 1115 Info-Shadonna\DOCS for Upload\"/>
    </mc:Choice>
  </mc:AlternateContent>
  <xr:revisionPtr revIDLastSave="0" documentId="8_{FC952194-8812-4DE5-9492-D9ADE41C277A}" xr6:coauthVersionLast="47" xr6:coauthVersionMax="47" xr10:uidLastSave="{00000000-0000-0000-0000-000000000000}"/>
  <workbookProtection workbookAlgorithmName="SHA-512" workbookHashValue="7Lu7/1mMMBWJJCWbpaBdG7UqrZrHPv0VbZ6HPRnP0sGpc8c5SEsFqT8EBKcOM+fMhLKY1Pz8gE/KtkMJFN9muA==" workbookSaltValue="WRFH4my1hLe0DdCz2TyKcQ==" workbookSpinCount="100000" lockStructure="1"/>
  <bookViews>
    <workbookView xWindow="-108" yWindow="-108" windowWidth="23256" windowHeight="12456" xr2:uid="{63105B6D-B35E-416B-8B1F-289F7BFC0F88}"/>
  </bookViews>
  <sheets>
    <sheet name="Cover" sheetId="4" r:id="rId1"/>
    <sheet name="Projection" sheetId="9" r:id="rId2"/>
    <sheet name="Enrollment" sheetId="1" r:id="rId3"/>
    <sheet name="Claims" sheetId="3" state="hidden" r:id="rId4"/>
    <sheet name="Claims- W-Med Only" sheetId="7" state="hidden" r:id="rId5"/>
    <sheet name="Claims- WO-Med Only" sheetId="8" r:id="rId6"/>
    <sheet name="Patient Liab Calc" sheetId="5"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16" i="5" l="1"/>
  <c r="O20" i="9"/>
  <c r="L20" i="9"/>
  <c r="I20" i="9"/>
  <c r="F20" i="9"/>
  <c r="C20" i="9"/>
  <c r="D24" i="5"/>
  <c r="C24" i="5"/>
  <c r="C31" i="9"/>
  <c r="P18" i="9"/>
  <c r="Q18" i="9" s="1"/>
  <c r="O18" i="9"/>
  <c r="M18" i="9"/>
  <c r="N18" i="9" s="1"/>
  <c r="L18" i="9"/>
  <c r="J18" i="9"/>
  <c r="K18" i="9" s="1"/>
  <c r="I18" i="9"/>
  <c r="G18" i="9"/>
  <c r="H18" i="9" s="1"/>
  <c r="F18" i="9"/>
  <c r="P17" i="9"/>
  <c r="Q17" i="9" s="1"/>
  <c r="O17" i="9"/>
  <c r="M17" i="9"/>
  <c r="N17" i="9" s="1"/>
  <c r="L17" i="9"/>
  <c r="J17" i="9"/>
  <c r="K17" i="9" s="1"/>
  <c r="I17" i="9"/>
  <c r="G17" i="9"/>
  <c r="H17" i="9" s="1"/>
  <c r="F17" i="9"/>
  <c r="P16" i="9"/>
  <c r="Q16" i="9" s="1"/>
  <c r="O16" i="9"/>
  <c r="M16" i="9"/>
  <c r="N16" i="9" s="1"/>
  <c r="L16" i="9"/>
  <c r="J16" i="9"/>
  <c r="K16" i="9" s="1"/>
  <c r="I16" i="9"/>
  <c r="G16" i="9"/>
  <c r="H16" i="9" s="1"/>
  <c r="F16" i="9"/>
  <c r="D16" i="9"/>
  <c r="C16" i="9"/>
  <c r="T54" i="8"/>
  <c r="T53" i="8"/>
  <c r="T52" i="8"/>
  <c r="T51" i="8"/>
  <c r="T50" i="8"/>
  <c r="T49" i="8"/>
  <c r="T48" i="8"/>
  <c r="T47" i="8"/>
  <c r="T46" i="8"/>
  <c r="T45" i="8"/>
  <c r="T44" i="8"/>
  <c r="T43" i="8"/>
  <c r="T42" i="8"/>
  <c r="T41" i="8"/>
  <c r="T40" i="8"/>
  <c r="T39" i="8"/>
  <c r="T38" i="8"/>
  <c r="T37" i="8"/>
  <c r="T36" i="8"/>
  <c r="T35" i="8"/>
  <c r="T34" i="8"/>
  <c r="T33" i="8"/>
  <c r="T32" i="8"/>
  <c r="T31" i="8"/>
  <c r="T30" i="8"/>
  <c r="T29" i="8"/>
  <c r="T28" i="8"/>
  <c r="T27" i="8"/>
  <c r="T26" i="8"/>
  <c r="T25" i="8"/>
  <c r="T24" i="8"/>
  <c r="T23" i="8"/>
  <c r="T22" i="8"/>
  <c r="T21" i="8"/>
  <c r="T20" i="8"/>
  <c r="T19" i="8"/>
  <c r="T18" i="8"/>
  <c r="T17" i="8"/>
  <c r="T16" i="8"/>
  <c r="T15" i="8"/>
  <c r="T14" i="8"/>
  <c r="T13" i="8"/>
  <c r="T12" i="8"/>
  <c r="T11" i="8"/>
  <c r="T10" i="8"/>
  <c r="T9" i="8"/>
  <c r="T8" i="8"/>
  <c r="T7" i="8"/>
  <c r="T6" i="8"/>
  <c r="T5" i="8"/>
  <c r="T4" i="8"/>
  <c r="Q54" i="7"/>
  <c r="Q53" i="7"/>
  <c r="Q52" i="7"/>
  <c r="Q51" i="7"/>
  <c r="Q50" i="7"/>
  <c r="Q49" i="7"/>
  <c r="Q48" i="7"/>
  <c r="Q47" i="7"/>
  <c r="Q46" i="7"/>
  <c r="Q45" i="7"/>
  <c r="Q44" i="7"/>
  <c r="Q43" i="7"/>
  <c r="Q42" i="7"/>
  <c r="Q41" i="7"/>
  <c r="Q40" i="7"/>
  <c r="Q39" i="7"/>
  <c r="Q38" i="7"/>
  <c r="Q37" i="7"/>
  <c r="Q36" i="7"/>
  <c r="Q35" i="7"/>
  <c r="Q34" i="7"/>
  <c r="Q33" i="7"/>
  <c r="Q32" i="7"/>
  <c r="Q31" i="7"/>
  <c r="Q30" i="7"/>
  <c r="Q29" i="7"/>
  <c r="Q28" i="7"/>
  <c r="Q27" i="7"/>
  <c r="Q26" i="7"/>
  <c r="Q25" i="7"/>
  <c r="Q24" i="7"/>
  <c r="Q23" i="7"/>
  <c r="Q22" i="7"/>
  <c r="Q21" i="7"/>
  <c r="Q20" i="7"/>
  <c r="Q19" i="7"/>
  <c r="Q18" i="7"/>
  <c r="Q17" i="7"/>
  <c r="Q16" i="7"/>
  <c r="Q15" i="7"/>
  <c r="Q14" i="7"/>
  <c r="Q13" i="7"/>
  <c r="Q12" i="7"/>
  <c r="Q11" i="7"/>
  <c r="Q10" i="7"/>
  <c r="Q9" i="7"/>
  <c r="Q8" i="7"/>
  <c r="Q7" i="7"/>
  <c r="Q6" i="7"/>
  <c r="Q5" i="7"/>
  <c r="Q4" i="7"/>
  <c r="Q54" i="3"/>
  <c r="Q53" i="3"/>
  <c r="Q52" i="3"/>
  <c r="Q51" i="3"/>
  <c r="Q50" i="3"/>
  <c r="Q49" i="3"/>
  <c r="Q48" i="3"/>
  <c r="Q47" i="3"/>
  <c r="Q46" i="3"/>
  <c r="Q45" i="3"/>
  <c r="Q44" i="3"/>
  <c r="Q43" i="3"/>
  <c r="Q42" i="3"/>
  <c r="Q41" i="3"/>
  <c r="Q40" i="3"/>
  <c r="Q39" i="3"/>
  <c r="Q38" i="3"/>
  <c r="Q37" i="3"/>
  <c r="Q36" i="3"/>
  <c r="Q35" i="3"/>
  <c r="Q34" i="3"/>
  <c r="Q33" i="3"/>
  <c r="Q32" i="3"/>
  <c r="Q31" i="3"/>
  <c r="Q30" i="3"/>
  <c r="Q29" i="3"/>
  <c r="Q28" i="3"/>
  <c r="Q27" i="3"/>
  <c r="Q26" i="3"/>
  <c r="Q25" i="3"/>
  <c r="Q24" i="3"/>
  <c r="Q23" i="3"/>
  <c r="Q22" i="3"/>
  <c r="Q21" i="3"/>
  <c r="Q20" i="3"/>
  <c r="Q19" i="3"/>
  <c r="Q18" i="3"/>
  <c r="Q17" i="3"/>
  <c r="Q16" i="3"/>
  <c r="Q15" i="3"/>
  <c r="Q14" i="3"/>
  <c r="Q13" i="3"/>
  <c r="Q12" i="3"/>
  <c r="Q11" i="3"/>
  <c r="Q10" i="3"/>
  <c r="Q9" i="3"/>
  <c r="Q8" i="3"/>
  <c r="Q7" i="3"/>
  <c r="Q6" i="3"/>
  <c r="Q5" i="3"/>
  <c r="Q4" i="3"/>
  <c r="S4" i="8"/>
  <c r="S5" i="8"/>
  <c r="S6" i="8"/>
  <c r="S7" i="8"/>
  <c r="S8" i="8"/>
  <c r="S9" i="8"/>
  <c r="S10" i="8"/>
  <c r="S11" i="8"/>
  <c r="S12" i="8"/>
  <c r="S13" i="8"/>
  <c r="S14" i="8"/>
  <c r="S15" i="8"/>
  <c r="S16" i="8"/>
  <c r="S17" i="8"/>
  <c r="S18" i="8"/>
  <c r="S19" i="8"/>
  <c r="S20" i="8"/>
  <c r="S21" i="8"/>
  <c r="S22" i="8"/>
  <c r="S23" i="8"/>
  <c r="S24" i="8"/>
  <c r="S25" i="8"/>
  <c r="S26" i="8"/>
  <c r="S27" i="8"/>
  <c r="S28" i="8"/>
  <c r="S29" i="8"/>
  <c r="S30" i="8"/>
  <c r="S31" i="8"/>
  <c r="S32" i="8"/>
  <c r="S33" i="8"/>
  <c r="S34" i="8"/>
  <c r="S35" i="8"/>
  <c r="S36" i="8"/>
  <c r="S37" i="8"/>
  <c r="S38" i="8"/>
  <c r="S39" i="8"/>
  <c r="S40" i="8"/>
  <c r="S41" i="8"/>
  <c r="S42" i="8"/>
  <c r="S43" i="8"/>
  <c r="S44" i="8"/>
  <c r="S45" i="8"/>
  <c r="S46" i="8"/>
  <c r="S47" i="8"/>
  <c r="S48" i="8"/>
  <c r="S49" i="8"/>
  <c r="S50" i="8"/>
  <c r="S51" i="8"/>
  <c r="S52" i="8"/>
  <c r="S53" i="8"/>
  <c r="S54" i="8"/>
  <c r="D18" i="9" l="1"/>
  <c r="C18" i="9"/>
  <c r="E18" i="9" s="1"/>
  <c r="D17" i="9"/>
  <c r="E17" i="9" s="1"/>
  <c r="C17" i="9"/>
  <c r="P45" i="9"/>
  <c r="G45" i="9"/>
  <c r="P44" i="9"/>
  <c r="M44" i="9"/>
  <c r="M45" i="9" s="1"/>
  <c r="J44" i="9"/>
  <c r="J45" i="9" s="1"/>
  <c r="G44" i="9"/>
  <c r="D44" i="9"/>
  <c r="D45" i="9" s="1"/>
  <c r="I14" i="9"/>
  <c r="F14" i="9"/>
  <c r="D7" i="9"/>
  <c r="E7" i="9" s="1"/>
  <c r="F7" i="9" s="1"/>
  <c r="G7" i="9" s="1"/>
  <c r="H7" i="9" s="1"/>
  <c r="I7" i="9" s="1"/>
  <c r="J7" i="9" s="1"/>
  <c r="K7" i="9" s="1"/>
  <c r="L7" i="9" s="1"/>
  <c r="M7" i="9" s="1"/>
  <c r="N7" i="9" s="1"/>
  <c r="F19" i="9" l="1"/>
  <c r="F21" i="9" s="1"/>
  <c r="C19" i="9"/>
  <c r="C21" i="9" s="1"/>
  <c r="D19" i="9"/>
  <c r="G19" i="9"/>
  <c r="J19" i="9"/>
  <c r="E16" i="9"/>
  <c r="L14" i="9"/>
  <c r="H19" i="9" l="1"/>
  <c r="E19" i="9"/>
  <c r="I19" i="9"/>
  <c r="I21" i="9" s="1"/>
  <c r="O14" i="9"/>
  <c r="P54" i="7"/>
  <c r="P53" i="7"/>
  <c r="P52" i="7"/>
  <c r="P51" i="7"/>
  <c r="P50" i="7"/>
  <c r="P49" i="7"/>
  <c r="P48" i="7"/>
  <c r="P47" i="7"/>
  <c r="P46" i="7"/>
  <c r="P45" i="7"/>
  <c r="P44" i="7"/>
  <c r="P43" i="7"/>
  <c r="P42" i="7"/>
  <c r="P41" i="7"/>
  <c r="P40" i="7"/>
  <c r="P39" i="7"/>
  <c r="P38" i="7"/>
  <c r="P37" i="7"/>
  <c r="P36" i="7"/>
  <c r="P35" i="7"/>
  <c r="P34" i="7"/>
  <c r="P33" i="7"/>
  <c r="P32" i="7"/>
  <c r="P31" i="7"/>
  <c r="P30" i="7"/>
  <c r="P29" i="7"/>
  <c r="P28" i="7"/>
  <c r="P27" i="7"/>
  <c r="P26" i="7"/>
  <c r="P25" i="7"/>
  <c r="P24" i="7"/>
  <c r="P23" i="7"/>
  <c r="P22" i="7"/>
  <c r="P21" i="7"/>
  <c r="P20" i="7"/>
  <c r="P19" i="7"/>
  <c r="P18" i="7"/>
  <c r="P17" i="7"/>
  <c r="P16" i="7"/>
  <c r="P15" i="7"/>
  <c r="P14" i="7"/>
  <c r="P13" i="7"/>
  <c r="P12" i="7"/>
  <c r="P11" i="7"/>
  <c r="P10" i="7"/>
  <c r="P9" i="7"/>
  <c r="P8" i="7"/>
  <c r="P7" i="7"/>
  <c r="P6" i="7"/>
  <c r="P5" i="7"/>
  <c r="P4" i="7"/>
  <c r="L19" i="9" l="1"/>
  <c r="J22" i="9" s="1"/>
  <c r="M19" i="9"/>
  <c r="K19" i="9"/>
  <c r="O19" i="9"/>
  <c r="O21" i="9" s="1"/>
  <c r="D22" i="9"/>
  <c r="D6" i="5"/>
  <c r="D7" i="5" s="1"/>
  <c r="D11" i="5" s="1"/>
  <c r="D26" i="5" s="1"/>
  <c r="C6" i="5"/>
  <c r="C7" i="5" s="1"/>
  <c r="C11" i="5" s="1"/>
  <c r="C26" i="5" s="1"/>
  <c r="D15" i="5"/>
  <c r="D16" i="5" s="1"/>
  <c r="D20" i="5" s="1"/>
  <c r="C15" i="5"/>
  <c r="C20" i="5" s="1"/>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P17" i="3"/>
  <c r="P16" i="3"/>
  <c r="P15" i="3"/>
  <c r="P14" i="3"/>
  <c r="P13" i="3"/>
  <c r="P12" i="3"/>
  <c r="P11" i="3"/>
  <c r="P10" i="3"/>
  <c r="P9" i="3"/>
  <c r="P8" i="3"/>
  <c r="P7" i="3"/>
  <c r="P6" i="3"/>
  <c r="P5" i="3"/>
  <c r="P4" i="3"/>
  <c r="G22" i="9" l="1"/>
  <c r="K22" i="9" s="1"/>
  <c r="M22" i="9"/>
  <c r="N22" i="9" s="1"/>
  <c r="N19" i="9"/>
  <c r="P19" i="9"/>
  <c r="Q19" i="9" s="1"/>
  <c r="P22" i="9"/>
  <c r="Q22" i="9" s="1"/>
  <c r="O8" i="9"/>
  <c r="L21" i="9"/>
  <c r="O9" i="9"/>
  <c r="O10" i="9"/>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D2" i="1"/>
  <c r="D3" i="1"/>
  <c r="H22" i="9" l="1"/>
  <c r="O11" i="9"/>
  <c r="P8" i="9"/>
  <c r="N8" i="9"/>
  <c r="G34" i="9"/>
  <c r="G35" i="9"/>
  <c r="H35" i="9" s="1"/>
  <c r="P9" i="9"/>
  <c r="N9" i="9"/>
  <c r="P10" i="9"/>
  <c r="G36" i="9"/>
  <c r="H36" i="9" s="1"/>
  <c r="N10" i="9"/>
  <c r="Q9" i="9" l="1"/>
  <c r="K35" i="9"/>
  <c r="L35" i="9" s="1"/>
  <c r="E9" i="9"/>
  <c r="D9" i="9"/>
  <c r="G9" i="9"/>
  <c r="F9" i="9"/>
  <c r="M9" i="9"/>
  <c r="H9" i="9"/>
  <c r="C9" i="9"/>
  <c r="L9" i="9"/>
  <c r="K9" i="9"/>
  <c r="J9" i="9"/>
  <c r="I9" i="9"/>
  <c r="M10" i="9"/>
  <c r="L10" i="9"/>
  <c r="H10" i="9"/>
  <c r="G10" i="9"/>
  <c r="K10" i="9"/>
  <c r="E10" i="9"/>
  <c r="J10" i="9"/>
  <c r="I10" i="9"/>
  <c r="F10" i="9"/>
  <c r="C10" i="9"/>
  <c r="D10" i="9"/>
  <c r="H34" i="9"/>
  <c r="H37" i="9" s="1"/>
  <c r="G37" i="9"/>
  <c r="K36" i="9"/>
  <c r="L36" i="9" s="1"/>
  <c r="Q10" i="9"/>
  <c r="I8" i="9"/>
  <c r="H8" i="9"/>
  <c r="D8" i="9"/>
  <c r="M8" i="9"/>
  <c r="G8" i="9"/>
  <c r="C8" i="9"/>
  <c r="F8" i="9"/>
  <c r="E8" i="9"/>
  <c r="J8" i="9"/>
  <c r="N11" i="9"/>
  <c r="K8" i="9"/>
  <c r="L8" i="9"/>
  <c r="Q8" i="9"/>
  <c r="P11" i="9"/>
  <c r="K34" i="9"/>
  <c r="H11" i="9" l="1"/>
  <c r="C36" i="9"/>
  <c r="D36" i="9" s="1"/>
  <c r="F11" i="9"/>
  <c r="G11" i="9"/>
  <c r="M11" i="9"/>
  <c r="C34" i="9"/>
  <c r="C11" i="9"/>
  <c r="C35" i="9"/>
  <c r="D35" i="9" s="1"/>
  <c r="O34" i="9"/>
  <c r="R8" i="9"/>
  <c r="Q11" i="9"/>
  <c r="I11" i="9"/>
  <c r="L11" i="9"/>
  <c r="R10" i="9"/>
  <c r="S36" i="9" s="1"/>
  <c r="T36" i="9" s="1"/>
  <c r="O36" i="9"/>
  <c r="P36" i="9" s="1"/>
  <c r="K11" i="9"/>
  <c r="J11" i="9"/>
  <c r="O35" i="9"/>
  <c r="P35" i="9" s="1"/>
  <c r="R9" i="9"/>
  <c r="S35" i="9" s="1"/>
  <c r="T35" i="9" s="1"/>
  <c r="E11" i="9"/>
  <c r="L34" i="9"/>
  <c r="L37" i="9" s="1"/>
  <c r="K37" i="9"/>
  <c r="D11" i="9"/>
  <c r="C37" i="9" l="1"/>
  <c r="D34" i="9"/>
  <c r="R11" i="9"/>
  <c r="S34" i="9"/>
  <c r="O37" i="9"/>
  <c r="P34" i="9"/>
  <c r="P37" i="9" s="1"/>
  <c r="C27" i="5"/>
  <c r="C28" i="5" s="1"/>
  <c r="C28" i="9" l="1"/>
  <c r="E35" i="9" s="1"/>
  <c r="C27" i="9"/>
  <c r="E34" i="9" s="1"/>
  <c r="I34" i="9" s="1"/>
  <c r="D37" i="9"/>
  <c r="T34" i="9"/>
  <c r="T37" i="9" s="1"/>
  <c r="S37" i="9"/>
  <c r="D27" i="5"/>
  <c r="D28" i="5" s="1"/>
  <c r="C29" i="9" s="1"/>
  <c r="E36" i="9" s="1"/>
  <c r="F34" i="9" l="1"/>
  <c r="E37" i="9"/>
  <c r="M34" i="9"/>
  <c r="J34" i="9"/>
  <c r="I36" i="9"/>
  <c r="F36" i="9"/>
  <c r="C45" i="9" s="1" a="1"/>
  <c r="E45" i="9" s="1"/>
  <c r="I35" i="9"/>
  <c r="I37" i="9" s="1"/>
  <c r="F35" i="9"/>
  <c r="C44" i="9" s="1" a="1"/>
  <c r="E44" i="9" s="1"/>
  <c r="C43" i="9" a="1"/>
  <c r="F37" i="9" l="1"/>
  <c r="M36" i="9"/>
  <c r="J36" i="9"/>
  <c r="F45" i="9" s="1" a="1"/>
  <c r="H45" i="9" s="1"/>
  <c r="F43" i="9" a="1"/>
  <c r="Q34" i="9"/>
  <c r="N34" i="9"/>
  <c r="M35" i="9"/>
  <c r="M37" i="9" s="1"/>
  <c r="J35" i="9"/>
  <c r="F44" i="9" s="1" a="1"/>
  <c r="H44" i="9" s="1"/>
  <c r="E43" i="9"/>
  <c r="E46" i="9" s="1"/>
  <c r="C21" i="4" s="1"/>
  <c r="C46" i="9"/>
  <c r="J37" i="9" l="1"/>
  <c r="F46" i="9"/>
  <c r="H43" i="9"/>
  <c r="H46" i="9" s="1"/>
  <c r="D21" i="4" s="1"/>
  <c r="U34" i="9"/>
  <c r="R34" i="9"/>
  <c r="Q35" i="9"/>
  <c r="N35" i="9"/>
  <c r="I44" i="9" s="1" a="1"/>
  <c r="K44" i="9" s="1"/>
  <c r="I43" i="9" a="1"/>
  <c r="Q36" i="9"/>
  <c r="N36" i="9"/>
  <c r="I45" i="9" s="1" a="1"/>
  <c r="K45" i="9" s="1"/>
  <c r="Q37" i="9" l="1"/>
  <c r="N37" i="9"/>
  <c r="U36" i="9"/>
  <c r="V36" i="9" s="1"/>
  <c r="O45" i="9" s="1" a="1"/>
  <c r="Q45" i="9" s="1"/>
  <c r="R36" i="9"/>
  <c r="L45" i="9" s="1" a="1"/>
  <c r="N45" i="9" s="1"/>
  <c r="I46" i="9"/>
  <c r="K43" i="9"/>
  <c r="K46" i="9" s="1"/>
  <c r="E21" i="4" s="1"/>
  <c r="U35" i="9"/>
  <c r="V35" i="9" s="1"/>
  <c r="O44" i="9" s="1" a="1"/>
  <c r="Q44" i="9" s="1"/>
  <c r="R35" i="9"/>
  <c r="L44" i="9" s="1" a="1"/>
  <c r="N44" i="9" s="1"/>
  <c r="L43" i="9" a="1"/>
  <c r="V34" i="9"/>
  <c r="U37" i="9" l="1"/>
  <c r="R37" i="9"/>
  <c r="O43" i="9" a="1"/>
  <c r="V37" i="9"/>
  <c r="N43" i="9"/>
  <c r="N46" i="9" s="1"/>
  <c r="F21" i="4" s="1"/>
  <c r="L46" i="9"/>
  <c r="Q43" i="9" l="1"/>
  <c r="Q46" i="9" s="1"/>
  <c r="G21" i="4" s="1"/>
  <c r="O46"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<sst xmlns="http://schemas.openxmlformats.org/spreadsheetml/2006/main" count="524" uniqueCount="139">
  <si>
    <t>NC Medicaid - Personal Care Services Alignment Demonstration</t>
  </si>
  <si>
    <t>Workbook description:</t>
  </si>
  <si>
    <t>This workbook contains the annual federal budget impact calculation for each demonstration year for the Medicaid Section 1115 Demonstration Application for the North Carolina Personal Care Services Alignment Demonstration.
The demonstration is projected to serve approximately 6,000 individuals statewide. It has been assumed that initial enrollment will start at 3,000 individuals and will take approximately 11 months to reach terminal enrollment of 6,000 individuals due to outreach and beneficiary awareness.
All enrollees in the limited benefit are expected to utilize the Personal Care Services. These enrollees are expected to utilize the services at the same levels and costs as those enrolled in the State and County Special Assistance (SA) program. Actual Per Member Per Month (PMPM) amounts for calendar year (CY) 2025 for SA program enrollees and their Personal Care Services costs were used as the basis for determining the estimated costs under this demonstration. The CY 2025 PMPMs were trended to CY 2027, demonstration year (DY) 1, at an annualized PMPM trend rate of approximately 0.6%. Subsequent DYs were trended at the same PMPM trend rate. Annual enrollee counts were then multiplied by PMPMs for each demonstration year to calculate total program costs. Federal expenditures were then split out using the current North Carolina Federal Medical Assistance Percentage (FMAP) of 64.2%. The details of the calculation are provided on the |Projection| tab with the Federal Demonstration Year expenditures also shown below.</t>
  </si>
  <si>
    <t>Federal Budget Impact</t>
  </si>
  <si>
    <t>DY1</t>
  </si>
  <si>
    <t>DY2</t>
  </si>
  <si>
    <t>DY3</t>
  </si>
  <si>
    <t>DY4</t>
  </si>
  <si>
    <t>DY5</t>
  </si>
  <si>
    <t>W/ Disabled, Exclude Medicaid Only</t>
  </si>
  <si>
    <t>Enrollment</t>
  </si>
  <si>
    <t>Terminal Enrollment:</t>
  </si>
  <si>
    <t>Year 1</t>
  </si>
  <si>
    <t>Year 2</t>
  </si>
  <si>
    <t>Year 3</t>
  </si>
  <si>
    <t>Year 4</t>
  </si>
  <si>
    <t>Year 5</t>
  </si>
  <si>
    <t>Setting</t>
  </si>
  <si>
    <t>ACH</t>
  </si>
  <si>
    <t>Combo</t>
  </si>
  <si>
    <t>SCU</t>
  </si>
  <si>
    <t>Total</t>
  </si>
  <si>
    <t>Costs - Utilizers Only</t>
  </si>
  <si>
    <t>Annual Users</t>
  </si>
  <si>
    <t>PCS Dollars</t>
  </si>
  <si>
    <t>PMPM</t>
  </si>
  <si>
    <t>Total Enrolled</t>
  </si>
  <si>
    <t>% Utilizers</t>
  </si>
  <si>
    <t>Avg PMPM Change (2025 Mix)</t>
  </si>
  <si>
    <t>Projected Expenditures</t>
  </si>
  <si>
    <t>Medicaid Coverage % (Patient Liability Adjustment)</t>
  </si>
  <si>
    <t>Medicaid %</t>
  </si>
  <si>
    <t>Annual PMPM Trend:</t>
  </si>
  <si>
    <t>Annual Member Months</t>
  </si>
  <si>
    <t>Annual Utilizers</t>
  </si>
  <si>
    <t>Dollars</t>
  </si>
  <si>
    <t>FMAP*</t>
  </si>
  <si>
    <t>Federal Expenditures</t>
  </si>
  <si>
    <t>*Reflects FFY 2027 FMAP: https://www.kff.org/medicaid/state-indicator/federal-matching-rate-and-multiplier/?currentTimeframe=0&amp;sortModel=%7B%22colId%22:%22Location%22,%22sort%22:%22asc%22%7D</t>
  </si>
  <si>
    <t>Month</t>
  </si>
  <si>
    <t>Year</t>
  </si>
  <si>
    <t>Enrolled (point-in-time)</t>
  </si>
  <si>
    <t>New entrants (first-time)</t>
  </si>
  <si>
    <t>Leavers</t>
  </si>
  <si>
    <t>Aged enrolled</t>
  </si>
  <si>
    <t>Disabled enrolled</t>
  </si>
  <si>
    <t>Combined enrolled</t>
  </si>
  <si>
    <t>Combined new</t>
  </si>
  <si>
    <t>2022-01</t>
  </si>
  <si>
    <t>2022-02</t>
  </si>
  <si>
    <t>2022-03</t>
  </si>
  <si>
    <t>2022-04</t>
  </si>
  <si>
    <t>2022-05</t>
  </si>
  <si>
    <t>2022-06</t>
  </si>
  <si>
    <t>2022-07</t>
  </si>
  <si>
    <t>2022-08</t>
  </si>
  <si>
    <t>2022-09</t>
  </si>
  <si>
    <t>2022-10</t>
  </si>
  <si>
    <t>2022-11</t>
  </si>
  <si>
    <t>2022-12</t>
  </si>
  <si>
    <t>2023-01</t>
  </si>
  <si>
    <t>2023-02</t>
  </si>
  <si>
    <t>2023-03</t>
  </si>
  <si>
    <t>2023-04</t>
  </si>
  <si>
    <t>2023-05</t>
  </si>
  <si>
    <t>2023-06</t>
  </si>
  <si>
    <t>2023-07</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</si>
  <si>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</si>
  <si>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</si>
  <si>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</si>
  <si>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</si>
  <si>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</si>
  <si>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</si>
  <si>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</si>
  <si>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</si>
  <si>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</si>
  <si>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</si>
  <si>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</si>
  <si>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</si>
  <si>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</si>
  <si>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</si>
  <si>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</si>
  <si>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</si>
  <si>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</si>
  <si>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</si>
  <si>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</si>
  <si>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</si>
  <si>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</si>
  <si>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</si>
  <si>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</si>
  <si>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2025-07</t>
  </si>
  <si>
    <t>2025-08</t>
  </si>
  <si>
    <t>2025-09</t>
  </si>
  <si>
    <t>2025-10</t>
  </si>
  <si>
    <t>2025-11</t>
  </si>
  <si>
    <t>2025-12</t>
  </si>
  <si>
    <t>2026-01</t>
  </si>
  <si>
    <t>2026-02</t>
  </si>
  <si>
    <t>2026-03</t>
  </si>
  <si>
    <t>ACH user-mo</t>
  </si>
  <si>
    <t>ACH claims</t>
  </si>
  <si>
    <t>ACH paid ($)</t>
  </si>
  <si>
    <t>SCU user-mo</t>
  </si>
  <si>
    <t>SCU claims</t>
  </si>
  <si>
    <t>SCU paid ($)</t>
  </si>
  <si>
    <t>Combo user-mo</t>
  </si>
  <si>
    <t>Combo claims</t>
  </si>
  <si>
    <t>Combo paid ($)</t>
  </si>
  <si>
    <t>Total PCS paid ($)</t>
  </si>
  <si>
    <t>Enrolled</t>
  </si>
  <si>
    <t>PCS PMPM ($)</t>
  </si>
  <si>
    <t>% Util</t>
  </si>
  <si>
    <t>Total $</t>
  </si>
  <si>
    <t>Combo/NF wing = modifier TT (PCS in ACH wings of combination homes / NFs). User-months sum per-cell distinct counts (may overcount distinct persons).</t>
  </si>
  <si>
    <t>Enrolled (comb.)</t>
  </si>
  <si>
    <t>Family Care user-mo</t>
  </si>
  <si>
    <t>Family Care claims</t>
  </si>
  <si>
    <t>Family Care paid ($)</t>
  </si>
  <si>
    <t>Patient Liability Calculation</t>
  </si>
  <si>
    <t>Notes</t>
  </si>
  <si>
    <t>% of FPL</t>
  </si>
  <si>
    <t>Max</t>
  </si>
  <si>
    <t>Annual Income Limit</t>
  </si>
  <si>
    <t>2026 Levels (180%/200%)</t>
  </si>
  <si>
    <t>Monthly Income</t>
  </si>
  <si>
    <t>R&amp;B Deduction</t>
  </si>
  <si>
    <t>Personal Needs Allowance</t>
  </si>
  <si>
    <t>Incurred Medical/Remedial Care Expenses</t>
  </si>
  <si>
    <t>2026 Medicare Part B Premium</t>
  </si>
  <si>
    <t>Remaining Available Income</t>
  </si>
  <si>
    <t>Max patient liability</t>
  </si>
  <si>
    <t>Min requiring no liability</t>
  </si>
  <si>
    <t>2026 Levels</t>
  </si>
  <si>
    <t>2026 Patient Liability</t>
  </si>
  <si>
    <t>PCS PMPM</t>
  </si>
  <si>
    <t>Patient Liability Factor</t>
  </si>
  <si>
    <t>Patient Liiability Amount</t>
  </si>
  <si>
    <t>Medicaid Liability</t>
  </si>
  <si>
    <t>Medicaid Portion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</si>
</sst>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_);_(* \(#,##0\);_(* &quot;-&quot;??_);_(@_)"/>
    <numFmt numFmtId="165" formatCode="0.0%"/>
    <numFmt numFmtId="166" formatCode="_(* #,##0_);_(* \(#,##0\);_(* &quot;-&quot;?_);_(@_)"/>
    <numFmt numFmtId="167" formatCode="_(&quot;$&quot;* #,##0_);_(&quot;$&quot;* \(#,##0\);_(&quot;$&quot;* &quot;-&quot;??_);_(@_)"/>
    <numFmt numFmtId="168" formatCode="&quot;$&quot;#,##0"/>
  </numFmts>
  <fonts count="9" x14ac:knownFonts="1">
    <font>
      <sz val="10"/>
      <color theme="1"/>
      <name val="Calibri"/>
      <family val="2"/>
    </font>
    <font>
      <sz val="10"/>
      <color theme="1"/>
      <name val="Calibri"/>
      <family val="2"/>
    </font>
    <font>
      <sz val="10"/>
      <color rgb="FFFF0000"/>
      <name val="Calibri"/>
      <family val="2"/>
    </font>
    <font>
      <b/>
      <sz val="10"/>
      <color theme="1"/>
      <name val="Calibri"/>
      <family val="2"/>
    </font>
    <font>
      <sz val="10"/>
      <color rgb="FF7030A0"/>
      <name val="Calibri"/>
      <family val="2"/>
    </font>
    <font>
      <sz val="10"/>
      <name val="Calibri"/>
      <family val="2"/>
    </font>
    <font>
      <b/>
      <i/>
      <sz val="10"/>
      <color theme="1"/>
      <name val="Calibri"/>
      <family val="2"/>
    </font>
    <font>
      <b/>
      <sz val="10"/>
      <color rgb="FFFF0000"/>
      <name val="Calibri"/>
      <family val="2"/>
    </font>
    <font>
      <sz val="8"/>
      <name val="Calibri"/>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89999084444715716"/>
        <bgColor indexed="64"/>
      </patternFill>
    </fill>
    <fill>
      <patternFill patternType="lightGray"/>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right/>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0" fillId="0" borderId="1" xfId="0" applyBorder="1"/>
    <xf numFmtId="0" fontId="4" fillId="0" borderId="1" xfId="0" applyFont="1" applyBorder="1"/>
    <xf numFmtId="164" fontId="4" fillId="0" borderId="1" xfId="1" applyNumberFormat="1" applyFont="1" applyBorder="1"/>
    <xf numFmtId="164" fontId="0" fillId="0" borderId="0" xfId="0" applyNumberFormat="1"/>
    <xf numFmtId="0" fontId="3" fillId="0" borderId="0" xfId="0" applyFont="1"/>
    <xf numFmtId="0" fontId="5" fillId="0" borderId="1" xfId="0" applyFont="1" applyBorder="1"/>
    <xf numFmtId="164" fontId="5" fillId="0" borderId="1" xfId="1" applyNumberFormat="1" applyFont="1" applyBorder="1"/>
    <xf numFmtId="0" fontId="6" fillId="0" borderId="0" xfId="0" applyFont="1"/>
    <xf numFmtId="164" fontId="0" fillId="0" borderId="1" xfId="1" applyNumberFormat="1" applyFont="1" applyBorder="1"/>
    <xf numFmtId="165" fontId="0" fillId="0" borderId="1" xfId="3" applyNumberFormat="1" applyFont="1" applyBorder="1"/>
    <xf numFmtId="0" fontId="3" fillId="3" borderId="2" xfId="0" applyFont="1" applyFill="1" applyBorder="1" applyAlignment="1">
      <alignment vertical="center" wrapText="1"/>
    </xf>
    <xf numFmtId="0" fontId="3" fillId="4" borderId="1" xfId="0" applyFont="1" applyFill="1" applyBorder="1" applyAlignment="1">
      <alignment horizontal="centerContinuous"/>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44" fontId="4" fillId="0" borderId="1" xfId="2" applyFont="1" applyBorder="1"/>
    <xf numFmtId="167" fontId="4" fillId="0" borderId="1" xfId="2" applyNumberFormat="1" applyFont="1" applyBorder="1"/>
    <xf numFmtId="0" fontId="3" fillId="3" borderId="4" xfId="0" applyFont="1" applyFill="1" applyBorder="1" applyAlignment="1">
      <alignment vertical="center" wrapText="1"/>
    </xf>
    <xf numFmtId="44" fontId="0" fillId="0" borderId="1" xfId="2" applyFont="1" applyBorder="1"/>
    <xf numFmtId="167" fontId="0" fillId="0" borderId="1" xfId="2" applyNumberFormat="1" applyFont="1" applyBorder="1"/>
    <xf numFmtId="0" fontId="3" fillId="0" borderId="3" xfId="0" applyFont="1" applyBorder="1"/>
    <xf numFmtId="164" fontId="3" fillId="0" borderId="3" xfId="1" applyNumberFormat="1" applyFont="1" applyBorder="1"/>
    <xf numFmtId="167" fontId="3" fillId="0" borderId="3" xfId="2" applyNumberFormat="1" applyFont="1" applyBorder="1"/>
    <xf numFmtId="44" fontId="3" fillId="0" borderId="3" xfId="2" applyFont="1" applyBorder="1"/>
    <xf numFmtId="0" fontId="0" fillId="0" borderId="5" xfId="0" applyBorder="1"/>
    <xf numFmtId="164" fontId="0" fillId="0" borderId="5" xfId="1" applyNumberFormat="1" applyFont="1" applyBorder="1"/>
    <xf numFmtId="167" fontId="0" fillId="0" borderId="5" xfId="2" applyNumberFormat="1" applyFont="1" applyBorder="1"/>
    <xf numFmtId="44" fontId="0" fillId="0" borderId="5" xfId="2" applyFont="1" applyBorder="1"/>
    <xf numFmtId="167" fontId="3" fillId="5" borderId="3" xfId="2" applyNumberFormat="1" applyFont="1" applyFill="1" applyBorder="1"/>
    <xf numFmtId="44" fontId="3" fillId="5" borderId="3" xfId="2" applyFont="1" applyFill="1" applyBorder="1"/>
    <xf numFmtId="165" fontId="3" fillId="0" borderId="3" xfId="3" applyNumberFormat="1" applyFont="1" applyBorder="1"/>
    <xf numFmtId="165" fontId="0" fillId="0" borderId="5" xfId="3" applyNumberFormat="1" applyFont="1" applyBorder="1"/>
    <xf numFmtId="165" fontId="2" fillId="0" borderId="1" xfId="3" applyNumberFormat="1" applyFont="1" applyBorder="1"/>
    <xf numFmtId="165" fontId="3" fillId="5" borderId="3" xfId="3" applyNumberFormat="1" applyFont="1" applyFill="1" applyBorder="1"/>
    <xf numFmtId="164" fontId="7" fillId="0" borderId="0" xfId="1" applyNumberFormat="1" applyFont="1"/>
    <xf numFmtId="0" fontId="0" fillId="2" borderId="1" xfId="0" applyFill="1" applyBorder="1"/>
    <xf numFmtId="166" fontId="0" fillId="2" borderId="1" xfId="0" applyNumberFormat="1" applyFill="1" applyBorder="1"/>
    <xf numFmtId="0" fontId="3" fillId="2" borderId="3" xfId="0" applyFont="1" applyFill="1" applyBorder="1"/>
    <xf numFmtId="166" fontId="3" fillId="2" borderId="3" xfId="0" applyNumberFormat="1" applyFont="1" applyFill="1" applyBorder="1"/>
    <xf numFmtId="0" fontId="0" fillId="2" borderId="5" xfId="0" applyFill="1" applyBorder="1"/>
    <xf numFmtId="166" fontId="0" fillId="2" borderId="5" xfId="0" applyNumberFormat="1" applyFill="1" applyBorder="1"/>
    <xf numFmtId="0" fontId="3" fillId="0" borderId="1" xfId="0" applyFont="1" applyBorder="1" applyAlignment="1">
      <alignment vertical="center" wrapText="1"/>
    </xf>
    <xf numFmtId="165" fontId="0" fillId="0" borderId="1" xfId="3" applyNumberFormat="1" applyFont="1" applyBorder="1" applyAlignment="1">
      <alignment vertical="center" wrapText="1"/>
    </xf>
    <xf numFmtId="44" fontId="0" fillId="0" borderId="1" xfId="2" applyFont="1" applyBorder="1" applyAlignment="1">
      <alignment vertical="center" wrapText="1"/>
    </xf>
    <xf numFmtId="165" fontId="7" fillId="0" borderId="0" xfId="3" applyNumberFormat="1" applyFont="1"/>
    <xf numFmtId="165" fontId="5" fillId="0" borderId="1" xfId="3" applyNumberFormat="1" applyFont="1" applyBorder="1"/>
    <xf numFmtId="168" fontId="0" fillId="0" borderId="1" xfId="0" applyNumberFormat="1" applyBorder="1"/>
    <xf numFmtId="0" fontId="3" fillId="4" borderId="1" xfId="0" applyFont="1" applyFill="1" applyBorder="1" applyAlignment="1">
      <alignment horizontal="center"/>
    </xf>
    <xf numFmtId="167" fontId="5" fillId="0" borderId="1" xfId="0" applyNumberFormat="1" applyFont="1" applyBorder="1"/>
    <xf numFmtId="0" fontId="0" fillId="0" borderId="0" xfId="0" applyAlignment="1">
      <alignment vertical="center" wrapText="1"/>
    </xf>
    <xf numFmtId="44" fontId="0" fillId="0" borderId="0" xfId="0" applyNumberFormat="1"/>
    <xf numFmtId="44" fontId="0" fillId="0" borderId="0" xfId="2" applyFont="1" applyAlignment="1">
      <alignment vertical="center" wrapText="1"/>
    </xf>
    <xf numFmtId="44" fontId="0" fillId="0" borderId="0" xfId="0" applyNumberFormat="1" applyAlignment="1">
      <alignment vertical="center" wrapText="1"/>
    </xf>
    <xf numFmtId="165" fontId="0" fillId="0" borderId="0" xfId="3" applyNumberFormat="1" applyFont="1"/>
    <xf numFmtId="165" fontId="2" fillId="0" borderId="0" xfId="3" applyNumberFormat="1" applyFont="1"/>
    <xf numFmtId="44" fontId="5" fillId="0" borderId="7" xfId="0" applyNumberFormat="1" applyFont="1" applyBorder="1" applyAlignment="1">
      <alignment vertical="center" wrapText="1"/>
    </xf>
    <xf numFmtId="0" fontId="0" fillId="0" borderId="7" xfId="0" applyBorder="1" applyAlignment="1">
      <alignment vertical="center" wrapText="1"/>
    </xf>
    <xf numFmtId="0" fontId="3" fillId="0" borderId="6" xfId="0" applyFont="1" applyBorder="1"/>
    <xf numFmtId="0" fontId="3" fillId="0" borderId="0" xfId="0" applyFont="1" applyAlignment="1">
      <alignment vertical="center" wrapText="1"/>
    </xf>
    <xf numFmtId="0" fontId="3" fillId="3" borderId="1" xfId="0" applyFont="1" applyFill="1" applyBorder="1" applyAlignment="1">
      <alignment vertical="center" wrapText="1"/>
    </xf>
    <xf numFmtId="0" fontId="3" fillId="3" borderId="1" xfId="0" applyFont="1" applyFill="1" applyBorder="1"/>
    <xf numFmtId="0" fontId="4" fillId="0" borderId="1" xfId="0" applyFont="1" applyBorder="1" applyAlignment="1">
      <alignment vertical="center" wrapText="1"/>
    </xf>
    <xf numFmtId="0" fontId="5" fillId="0" borderId="1" xfId="0" applyFont="1" applyBorder="1" applyAlignment="1">
      <alignment vertical="center" wrapText="1"/>
    </xf>
    <xf numFmtId="168" fontId="0" fillId="0" borderId="0" xfId="0" applyNumberFormat="1"/>
    <xf numFmtId="0" fontId="0" fillId="0" borderId="1" xfId="0" applyBorder="1" applyAlignment="1">
      <alignment horizontal="left" vertical="top"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Enrollment!$D$4</c:f>
              <c:strCache>
                <c:ptCount val="1"/>
                <c:pt idx="0">
                  <c:v>Enrolled (point-in-time)</c:v>
                </c:pt>
              </c:strCache>
            </c:strRef>
          </c:tx>
          <c:spPr>
            <a:ln w="28575" cap="rnd">
              <a:solidFill>
                <a:schemeClr val="accent1"/>
              </a:solidFill>
              <a:round/>
            </a:ln>
            <a:effectLst/>
          </c:spPr>
          <c:marker>
            <c:symbol val="none"/>
          </c:marker>
          <c:cat>
            <c:strRef>
              <c:f>Enrollment!$B$5:$B$55</c:f>
              <c:strCache>
                <c:ptCount val="51"/>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strCache>
            </c:strRef>
          </c:cat>
          <c:val>
            <c:numRef>
              <c:f>Enrollment!$D$5:$D$55</c:f>
              <c:numCache>
                <c:formatCode>_(* #,##0_);_(* \(#,##0\);_(* "-"??_);_(@_)</c:formatCode>
                <c:ptCount val="51"/>
                <c:pt idx="0">
                  <c:v>6742</c:v>
                </c:pt>
                <c:pt idx="1">
                  <c:v>6670</c:v>
                </c:pt>
                <c:pt idx="2">
                  <c:v>6673</c:v>
                </c:pt>
                <c:pt idx="3">
                  <c:v>6605</c:v>
                </c:pt>
                <c:pt idx="4">
                  <c:v>6589</c:v>
                </c:pt>
                <c:pt idx="5">
                  <c:v>6608</c:v>
                </c:pt>
                <c:pt idx="6">
                  <c:v>6567</c:v>
                </c:pt>
                <c:pt idx="7">
                  <c:v>6617</c:v>
                </c:pt>
                <c:pt idx="8">
                  <c:v>6582</c:v>
                </c:pt>
                <c:pt idx="9">
                  <c:v>6604</c:v>
                </c:pt>
                <c:pt idx="10">
                  <c:v>6640</c:v>
                </c:pt>
                <c:pt idx="11">
                  <c:v>6625</c:v>
                </c:pt>
                <c:pt idx="12">
                  <c:v>6610</c:v>
                </c:pt>
                <c:pt idx="13">
                  <c:v>6613</c:v>
                </c:pt>
                <c:pt idx="14">
                  <c:v>6647</c:v>
                </c:pt>
                <c:pt idx="15">
                  <c:v>6625</c:v>
                </c:pt>
                <c:pt idx="16">
                  <c:v>6686</c:v>
                </c:pt>
                <c:pt idx="17">
                  <c:v>6696</c:v>
                </c:pt>
                <c:pt idx="18">
                  <c:v>6712</c:v>
                </c:pt>
                <c:pt idx="19">
                  <c:v>6719</c:v>
                </c:pt>
                <c:pt idx="20">
                  <c:v>6698</c:v>
                </c:pt>
                <c:pt idx="21">
                  <c:v>6711</c:v>
                </c:pt>
                <c:pt idx="22">
                  <c:v>6700</c:v>
                </c:pt>
                <c:pt idx="23">
                  <c:v>6633</c:v>
                </c:pt>
                <c:pt idx="24">
                  <c:v>6625</c:v>
                </c:pt>
                <c:pt idx="25">
                  <c:v>6600</c:v>
                </c:pt>
                <c:pt idx="26">
                  <c:v>6599</c:v>
                </c:pt>
                <c:pt idx="27">
                  <c:v>6658</c:v>
                </c:pt>
                <c:pt idx="28">
                  <c:v>6659</c:v>
                </c:pt>
                <c:pt idx="29">
                  <c:v>6636</c:v>
                </c:pt>
                <c:pt idx="30">
                  <c:v>6687</c:v>
                </c:pt>
                <c:pt idx="31">
                  <c:v>6691</c:v>
                </c:pt>
                <c:pt idx="32">
                  <c:v>6689</c:v>
                </c:pt>
                <c:pt idx="33">
                  <c:v>6710</c:v>
                </c:pt>
                <c:pt idx="34">
                  <c:v>6688</c:v>
                </c:pt>
                <c:pt idx="35">
                  <c:v>6707</c:v>
                </c:pt>
                <c:pt idx="36">
                  <c:v>6650</c:v>
                </c:pt>
                <c:pt idx="37">
                  <c:v>6631</c:v>
                </c:pt>
                <c:pt idx="38">
                  <c:v>6632</c:v>
                </c:pt>
                <c:pt idx="39">
                  <c:v>6693</c:v>
                </c:pt>
                <c:pt idx="40">
                  <c:v>6720</c:v>
                </c:pt>
                <c:pt idx="41">
                  <c:v>6750</c:v>
                </c:pt>
                <c:pt idx="42">
                  <c:v>6792</c:v>
                </c:pt>
                <c:pt idx="43">
                  <c:v>6816</c:v>
                </c:pt>
                <c:pt idx="44">
                  <c:v>6862</c:v>
                </c:pt>
                <c:pt idx="45">
                  <c:v>6895</c:v>
                </c:pt>
                <c:pt idx="46">
                  <c:v>6850</c:v>
                </c:pt>
                <c:pt idx="47">
                  <c:v>6825</c:v>
                </c:pt>
                <c:pt idx="48">
                  <c:v>6809</c:v>
                </c:pt>
                <c:pt idx="49">
                  <c:v>6719</c:v>
                </c:pt>
                <c:pt idx="50">
                  <c:v>6669</c:v>
                </c:pt>
              </c:numCache>
            </c:numRef>
          </c:val>
          <c:smooth val="0"/>
          <c:extLst>
            <c:ext xmlns:c16="http://schemas.microsoft.com/office/drawing/2014/chart" uri="{C3380CC4-5D6E-409C-BE32-E72D297353CC}">
              <c16:uniqueId val="{00000000-B78E-4FF8-A5EB-5B518CC12C18}"/>
            </c:ext>
          </c:extLst>
        </c:ser>
        <c:dLbls>
          <c:showLegendKey val="0"/>
          <c:showVal val="0"/>
          <c:showCatName val="0"/>
          <c:showSerName val="0"/>
          <c:showPercent val="0"/>
          <c:showBubbleSize val="0"/>
        </c:dLbls>
        <c:smooth val="0"/>
        <c:axId val="1526640800"/>
        <c:axId val="1526636480"/>
      </c:lineChart>
      <c:catAx>
        <c:axId val="1526640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636480"/>
        <c:crosses val="autoZero"/>
        <c:auto val="1"/>
        <c:lblAlgn val="ctr"/>
        <c:lblOffset val="100"/>
        <c:noMultiLvlLbl val="0"/>
      </c:catAx>
      <c:valAx>
        <c:axId val="152663648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66408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Claims!$O$3</c:f>
              <c:strCache>
                <c:ptCount val="1"/>
                <c:pt idx="0">
                  <c:v>PCS PMPM ($)</c:v>
                </c:pt>
              </c:strCache>
            </c:strRef>
          </c:tx>
          <c:spPr>
            <a:ln w="28575" cap="rnd">
              <a:solidFill>
                <a:schemeClr val="accent1"/>
              </a:solidFill>
              <a:round/>
            </a:ln>
            <a:effectLst/>
          </c:spPr>
          <c:marker>
            <c:symbol val="none"/>
          </c:marker>
          <c:cat>
            <c:strRef>
              <c:f>Claims!$B$4:$B$54</c:f>
              <c:strCache>
                <c:ptCount val="51"/>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strCache>
            </c:strRef>
          </c:cat>
          <c:val>
            <c:numRef>
              <c:f>Claims!$O$4:$O$54</c:f>
              <c:numCache>
                <c:formatCode>_("$"* #,##0.00_);_("$"* \(#,##0.00\);_("$"* "-"??_);_(@_)</c:formatCode>
                <c:ptCount val="51"/>
                <c:pt idx="0">
                  <c:v>1985.2906570750517</c:v>
                </c:pt>
                <c:pt idx="1">
                  <c:v>1995.3396851574212</c:v>
                </c:pt>
                <c:pt idx="2">
                  <c:v>1876.3479319646335</c:v>
                </c:pt>
                <c:pt idx="3">
                  <c:v>2075.4333096139289</c:v>
                </c:pt>
                <c:pt idx="4">
                  <c:v>2092.2969312490513</c:v>
                </c:pt>
                <c:pt idx="5">
                  <c:v>2114.4251240920098</c:v>
                </c:pt>
                <c:pt idx="6">
                  <c:v>2131.9013034871327</c:v>
                </c:pt>
                <c:pt idx="7">
                  <c:v>2115.314019948617</c:v>
                </c:pt>
                <c:pt idx="8">
                  <c:v>2139.2342722576727</c:v>
                </c:pt>
                <c:pt idx="9">
                  <c:v>2156.4431859479105</c:v>
                </c:pt>
                <c:pt idx="10">
                  <c:v>2116.9756385542169</c:v>
                </c:pt>
                <c:pt idx="11">
                  <c:v>2126.8953735849054</c:v>
                </c:pt>
                <c:pt idx="12">
                  <c:v>2126.6666747352492</c:v>
                </c:pt>
                <c:pt idx="13">
                  <c:v>2124.7313972478451</c:v>
                </c:pt>
                <c:pt idx="14">
                  <c:v>2138.159789378667</c:v>
                </c:pt>
                <c:pt idx="15">
                  <c:v>2166.9035199999998</c:v>
                </c:pt>
                <c:pt idx="16">
                  <c:v>2162.9041355070299</c:v>
                </c:pt>
                <c:pt idx="17">
                  <c:v>2155.5668862007169</c:v>
                </c:pt>
                <c:pt idx="18">
                  <c:v>2154.2172094755661</c:v>
                </c:pt>
                <c:pt idx="19">
                  <c:v>2169.2785369846702</c:v>
                </c:pt>
                <c:pt idx="20">
                  <c:v>2169.4936249626753</c:v>
                </c:pt>
                <c:pt idx="21">
                  <c:v>2162.0492400536432</c:v>
                </c:pt>
                <c:pt idx="22">
                  <c:v>2158.9807507462688</c:v>
                </c:pt>
                <c:pt idx="23">
                  <c:v>2148.6044399216039</c:v>
                </c:pt>
                <c:pt idx="24">
                  <c:v>2157.6182173584907</c:v>
                </c:pt>
                <c:pt idx="25">
                  <c:v>2170.6813424242423</c:v>
                </c:pt>
                <c:pt idx="26">
                  <c:v>2190.1936156993484</c:v>
                </c:pt>
                <c:pt idx="27">
                  <c:v>2177.1282006608594</c:v>
                </c:pt>
                <c:pt idx="28">
                  <c:v>2175.6192536416879</c:v>
                </c:pt>
                <c:pt idx="29">
                  <c:v>2173.278884870404</c:v>
                </c:pt>
                <c:pt idx="30">
                  <c:v>2111.110237774787</c:v>
                </c:pt>
                <c:pt idx="31">
                  <c:v>2128.4954520998358</c:v>
                </c:pt>
                <c:pt idx="32">
                  <c:v>2135.7412498131262</c:v>
                </c:pt>
                <c:pt idx="33">
                  <c:v>2157.4471326378539</c:v>
                </c:pt>
                <c:pt idx="34">
                  <c:v>2171.7432012559811</c:v>
                </c:pt>
                <c:pt idx="35">
                  <c:v>2167.8471194274639</c:v>
                </c:pt>
                <c:pt idx="36">
                  <c:v>2191.9074060150374</c:v>
                </c:pt>
                <c:pt idx="37">
                  <c:v>2187.7797285477304</c:v>
                </c:pt>
                <c:pt idx="38">
                  <c:v>2186.5697632689989</c:v>
                </c:pt>
                <c:pt idx="39">
                  <c:v>2191.9129209621992</c:v>
                </c:pt>
                <c:pt idx="40">
                  <c:v>2169.6370133928572</c:v>
                </c:pt>
                <c:pt idx="41">
                  <c:v>2175.7643422222222</c:v>
                </c:pt>
                <c:pt idx="42">
                  <c:v>2152.1400441696114</c:v>
                </c:pt>
                <c:pt idx="43">
                  <c:v>2158.1726115023475</c:v>
                </c:pt>
                <c:pt idx="44">
                  <c:v>2132.893752550277</c:v>
                </c:pt>
                <c:pt idx="45">
                  <c:v>2130.1356098622191</c:v>
                </c:pt>
                <c:pt idx="46">
                  <c:v>2131.1201562043798</c:v>
                </c:pt>
                <c:pt idx="47">
                  <c:v>2099.2554212454211</c:v>
                </c:pt>
                <c:pt idx="48">
                  <c:v>2076.6772771332062</c:v>
                </c:pt>
                <c:pt idx="49">
                  <c:v>2094.3390191992858</c:v>
                </c:pt>
                <c:pt idx="50">
                  <c:v>2115.0501724396458</c:v>
                </c:pt>
              </c:numCache>
            </c:numRef>
          </c:val>
          <c:smooth val="0"/>
          <c:extLst>
            <c:ext xmlns:c16="http://schemas.microsoft.com/office/drawing/2014/chart" uri="{C3380CC4-5D6E-409C-BE32-E72D297353CC}">
              <c16:uniqueId val="{00000000-F69A-4F1C-8CD2-110C15E794E6}"/>
            </c:ext>
          </c:extLst>
        </c:ser>
        <c:dLbls>
          <c:showLegendKey val="0"/>
          <c:showVal val="0"/>
          <c:showCatName val="0"/>
          <c:showSerName val="0"/>
          <c:showPercent val="0"/>
          <c:showBubbleSize val="0"/>
        </c:dLbls>
        <c:smooth val="0"/>
        <c:axId val="685827743"/>
        <c:axId val="685818143"/>
      </c:lineChart>
      <c:catAx>
        <c:axId val="685827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818143"/>
        <c:crosses val="autoZero"/>
        <c:auto val="1"/>
        <c:lblAlgn val="ctr"/>
        <c:lblOffset val="100"/>
        <c:noMultiLvlLbl val="0"/>
      </c:catAx>
      <c:valAx>
        <c:axId val="685818143"/>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8277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Claims!$P$3</c:f>
              <c:strCache>
                <c:ptCount val="1"/>
                <c:pt idx="0">
                  <c:v>% Util</c:v>
                </c:pt>
              </c:strCache>
            </c:strRef>
          </c:tx>
          <c:spPr>
            <a:ln w="28575" cap="rnd">
              <a:solidFill>
                <a:schemeClr val="accent1"/>
              </a:solidFill>
              <a:round/>
            </a:ln>
            <a:effectLst/>
          </c:spPr>
          <c:marker>
            <c:symbol val="none"/>
          </c:marker>
          <c:cat>
            <c:strRef>
              <c:f>Claims!$B$4:$B$54</c:f>
              <c:strCache>
                <c:ptCount val="51"/>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strCache>
            </c:strRef>
          </c:cat>
          <c:val>
            <c:numRef>
              <c:f>Claims!$P$4:$P$54</c:f>
              <c:numCache>
                <c:formatCode>0.0%</c:formatCode>
                <c:ptCount val="51"/>
                <c:pt idx="0">
                  <c:v>0.88519727083951349</c:v>
                </c:pt>
                <c:pt idx="1">
                  <c:v>0.89055472263868063</c:v>
                </c:pt>
                <c:pt idx="2">
                  <c:v>0.90409111344222992</c:v>
                </c:pt>
                <c:pt idx="3">
                  <c:v>0.92081756245268731</c:v>
                </c:pt>
                <c:pt idx="4">
                  <c:v>0.92305357413871603</c:v>
                </c:pt>
                <c:pt idx="5">
                  <c:v>0.9284200968523002</c:v>
                </c:pt>
                <c:pt idx="6">
                  <c:v>0.92903913506928582</c:v>
                </c:pt>
                <c:pt idx="7">
                  <c:v>0.92851745504004835</c:v>
                </c:pt>
                <c:pt idx="8">
                  <c:v>0.9407474931631723</c:v>
                </c:pt>
                <c:pt idx="9">
                  <c:v>0.95018170805572377</c:v>
                </c:pt>
                <c:pt idx="10">
                  <c:v>0.92816265060240966</c:v>
                </c:pt>
                <c:pt idx="11">
                  <c:v>0.93147169811320751</c:v>
                </c:pt>
                <c:pt idx="12">
                  <c:v>0.93373676248108928</c:v>
                </c:pt>
                <c:pt idx="13">
                  <c:v>0.93558143051565101</c:v>
                </c:pt>
                <c:pt idx="14">
                  <c:v>0.94087558296976082</c:v>
                </c:pt>
                <c:pt idx="15">
                  <c:v>0.95426415094339623</c:v>
                </c:pt>
                <c:pt idx="16">
                  <c:v>0.94810050852527672</c:v>
                </c:pt>
                <c:pt idx="17">
                  <c:v>0.94295101553166072</c:v>
                </c:pt>
                <c:pt idx="18">
                  <c:v>0.94293802145411199</c:v>
                </c:pt>
                <c:pt idx="19">
                  <c:v>0.95996428039886883</c:v>
                </c:pt>
                <c:pt idx="20">
                  <c:v>0.9513287548521947</c:v>
                </c:pt>
                <c:pt idx="21">
                  <c:v>0.94471762777529433</c:v>
                </c:pt>
                <c:pt idx="22">
                  <c:v>0.94388059701492533</c:v>
                </c:pt>
                <c:pt idx="23">
                  <c:v>0.94391677973767529</c:v>
                </c:pt>
                <c:pt idx="24">
                  <c:v>0.94852830188679249</c:v>
                </c:pt>
                <c:pt idx="25">
                  <c:v>0.95787878787878789</c:v>
                </c:pt>
                <c:pt idx="26">
                  <c:v>0.96090316714653734</c:v>
                </c:pt>
                <c:pt idx="27">
                  <c:v>0.95674376689696605</c:v>
                </c:pt>
                <c:pt idx="28">
                  <c:v>0.95584922661060223</c:v>
                </c:pt>
                <c:pt idx="29">
                  <c:v>0.95644966847498492</c:v>
                </c:pt>
                <c:pt idx="30">
                  <c:v>0.92612531778076868</c:v>
                </c:pt>
                <c:pt idx="31">
                  <c:v>0.9417127484680915</c:v>
                </c:pt>
                <c:pt idx="32">
                  <c:v>0.9484227836746898</c:v>
                </c:pt>
                <c:pt idx="33">
                  <c:v>0.94724292101341279</c:v>
                </c:pt>
                <c:pt idx="34">
                  <c:v>0.9611244019138756</c:v>
                </c:pt>
                <c:pt idx="35">
                  <c:v>0.96257641270314598</c:v>
                </c:pt>
                <c:pt idx="36">
                  <c:v>0.97624060150375935</c:v>
                </c:pt>
                <c:pt idx="37">
                  <c:v>0.96983863670637915</c:v>
                </c:pt>
                <c:pt idx="38">
                  <c:v>0.96034378769601925</c:v>
                </c:pt>
                <c:pt idx="39">
                  <c:v>0.9494994770655909</c:v>
                </c:pt>
                <c:pt idx="40">
                  <c:v>0.95148809523809519</c:v>
                </c:pt>
                <c:pt idx="41">
                  <c:v>0.9496296296296296</c:v>
                </c:pt>
                <c:pt idx="42">
                  <c:v>0.94081272084805656</c:v>
                </c:pt>
                <c:pt idx="43">
                  <c:v>0.94131455399061037</c:v>
                </c:pt>
                <c:pt idx="44">
                  <c:v>0.92800932672690173</c:v>
                </c:pt>
                <c:pt idx="45">
                  <c:v>0.92936910804931105</c:v>
                </c:pt>
                <c:pt idx="46">
                  <c:v>0.92817518248175179</c:v>
                </c:pt>
                <c:pt idx="47">
                  <c:v>0.92454212454212459</c:v>
                </c:pt>
                <c:pt idx="48">
                  <c:v>0.91628726685269501</c:v>
                </c:pt>
                <c:pt idx="49">
                  <c:v>0.92186337252567341</c:v>
                </c:pt>
                <c:pt idx="50">
                  <c:v>0.92157744789323737</c:v>
                </c:pt>
              </c:numCache>
            </c:numRef>
          </c:val>
          <c:smooth val="0"/>
          <c:extLst>
            <c:ext xmlns:c16="http://schemas.microsoft.com/office/drawing/2014/chart" uri="{C3380CC4-5D6E-409C-BE32-E72D297353CC}">
              <c16:uniqueId val="{00000000-E5F7-4766-9EC8-2D0E8026B15F}"/>
            </c:ext>
          </c:extLst>
        </c:ser>
        <c:dLbls>
          <c:showLegendKey val="0"/>
          <c:showVal val="0"/>
          <c:showCatName val="0"/>
          <c:showSerName val="0"/>
          <c:showPercent val="0"/>
          <c:showBubbleSize val="0"/>
        </c:dLbls>
        <c:smooth val="0"/>
        <c:axId val="685831583"/>
        <c:axId val="685832063"/>
      </c:lineChart>
      <c:catAx>
        <c:axId val="685831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832063"/>
        <c:crosses val="autoZero"/>
        <c:auto val="1"/>
        <c:lblAlgn val="ctr"/>
        <c:lblOffset val="100"/>
        <c:noMultiLvlLbl val="0"/>
      </c:catAx>
      <c:valAx>
        <c:axId val="68583206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83158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'Claims- W-Med Only'!$O$3</c:f>
              <c:strCache>
                <c:ptCount val="1"/>
                <c:pt idx="0">
                  <c:v>PCS PMPM ($)</c:v>
                </c:pt>
              </c:strCache>
            </c:strRef>
          </c:tx>
          <c:spPr>
            <a:ln w="28575" cap="rnd">
              <a:solidFill>
                <a:schemeClr val="accent1"/>
              </a:solidFill>
              <a:round/>
            </a:ln>
            <a:effectLst/>
          </c:spPr>
          <c:marker>
            <c:symbol val="none"/>
          </c:marker>
          <c:cat>
            <c:strRef>
              <c:f>'Claims- W-Med Only'!$B$4:$B$54</c:f>
              <c:strCache>
                <c:ptCount val="51"/>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strCache>
            </c:strRef>
          </c:cat>
          <c:val>
            <c:numRef>
              <c:f>'Claims- W-Med Only'!$O$4:$O$54</c:f>
              <c:numCache>
                <c:formatCode>_("$"* #,##0.00_);_("$"* \(#,##0.00\);_("$"* "-"??_);_(@_)</c:formatCode>
                <c:ptCount val="51"/>
                <c:pt idx="0">
                  <c:v>1330.0287295113505</c:v>
                </c:pt>
                <c:pt idx="1">
                  <c:v>1336.1149941801816</c:v>
                </c:pt>
                <c:pt idx="2">
                  <c:v>1261.8926744276289</c:v>
                </c:pt>
                <c:pt idx="3">
                  <c:v>1401.9658515318145</c:v>
                </c:pt>
                <c:pt idx="4">
                  <c:v>1415.2522100535768</c:v>
                </c:pt>
                <c:pt idx="5">
                  <c:v>1426.1288653543306</c:v>
                </c:pt>
                <c:pt idx="6">
                  <c:v>1443.1507196187449</c:v>
                </c:pt>
                <c:pt idx="7">
                  <c:v>1442.1839952475245</c:v>
                </c:pt>
                <c:pt idx="8">
                  <c:v>1457.4822336277552</c:v>
                </c:pt>
                <c:pt idx="9">
                  <c:v>1474.0770033375716</c:v>
                </c:pt>
                <c:pt idx="10">
                  <c:v>1449.5845324026334</c:v>
                </c:pt>
                <c:pt idx="11">
                  <c:v>1456.2176515151516</c:v>
                </c:pt>
                <c:pt idx="12">
                  <c:v>1461.9862083033356</c:v>
                </c:pt>
                <c:pt idx="13">
                  <c:v>1467.1586283469617</c:v>
                </c:pt>
                <c:pt idx="14">
                  <c:v>1484.2338043391244</c:v>
                </c:pt>
                <c:pt idx="15">
                  <c:v>1508.1971414775471</c:v>
                </c:pt>
                <c:pt idx="16">
                  <c:v>1513.7271848235014</c:v>
                </c:pt>
                <c:pt idx="17">
                  <c:v>1508.4493708927712</c:v>
                </c:pt>
                <c:pt idx="18">
                  <c:v>1512.1726275264677</c:v>
                </c:pt>
                <c:pt idx="19">
                  <c:v>1525.6432814130872</c:v>
                </c:pt>
                <c:pt idx="20">
                  <c:v>1528.1976601581414</c:v>
                </c:pt>
                <c:pt idx="21">
                  <c:v>1529.5812485866579</c:v>
                </c:pt>
                <c:pt idx="22">
                  <c:v>1529.2218331850172</c:v>
                </c:pt>
                <c:pt idx="23">
                  <c:v>1524.7232754686227</c:v>
                </c:pt>
                <c:pt idx="24">
                  <c:v>1542.4673122950817</c:v>
                </c:pt>
                <c:pt idx="25">
                  <c:v>1560.3297072164951</c:v>
                </c:pt>
                <c:pt idx="26">
                  <c:v>1576.6531294311624</c:v>
                </c:pt>
                <c:pt idx="27">
                  <c:v>1576.2111992120167</c:v>
                </c:pt>
                <c:pt idx="28">
                  <c:v>1577.9229819524203</c:v>
                </c:pt>
                <c:pt idx="29">
                  <c:v>1576.9120075695243</c:v>
                </c:pt>
                <c:pt idx="30">
                  <c:v>1452.8512065708417</c:v>
                </c:pt>
                <c:pt idx="31">
                  <c:v>1467.6743384286656</c:v>
                </c:pt>
                <c:pt idx="32">
                  <c:v>1473.6500468672914</c:v>
                </c:pt>
                <c:pt idx="33">
                  <c:v>1490.9038275663679</c:v>
                </c:pt>
                <c:pt idx="34">
                  <c:v>1505.010890393987</c:v>
                </c:pt>
                <c:pt idx="35">
                  <c:v>1516.6247347040289</c:v>
                </c:pt>
                <c:pt idx="36">
                  <c:v>1538.2221624339957</c:v>
                </c:pt>
                <c:pt idx="37">
                  <c:v>1538.5616398957195</c:v>
                </c:pt>
                <c:pt idx="38">
                  <c:v>1537.5454549283909</c:v>
                </c:pt>
                <c:pt idx="39">
                  <c:v>1553.4614753272908</c:v>
                </c:pt>
                <c:pt idx="40">
                  <c:v>1536.5121434542716</c:v>
                </c:pt>
                <c:pt idx="41">
                  <c:v>1541.3498691012171</c:v>
                </c:pt>
                <c:pt idx="42">
                  <c:v>1531.3841321695761</c:v>
                </c:pt>
                <c:pt idx="43">
                  <c:v>1544.4853530637768</c:v>
                </c:pt>
                <c:pt idx="44">
                  <c:v>1531.7450842533412</c:v>
                </c:pt>
                <c:pt idx="45">
                  <c:v>1533.125364035451</c:v>
                </c:pt>
                <c:pt idx="46">
                  <c:v>1531.2151333610302</c:v>
                </c:pt>
                <c:pt idx="47">
                  <c:v>1511.830908863504</c:v>
                </c:pt>
                <c:pt idx="48">
                  <c:v>1504.8340441914966</c:v>
                </c:pt>
                <c:pt idx="49">
                  <c:v>1516.6883148446102</c:v>
                </c:pt>
                <c:pt idx="50">
                  <c:v>1536.0386887202658</c:v>
                </c:pt>
              </c:numCache>
            </c:numRef>
          </c:val>
          <c:smooth val="0"/>
          <c:extLst>
            <c:ext xmlns:c16="http://schemas.microsoft.com/office/drawing/2014/chart" uri="{C3380CC4-5D6E-409C-BE32-E72D297353CC}">
              <c16:uniqueId val="{00000000-3E67-4DF7-B8DF-E097A2B8A9C0}"/>
            </c:ext>
          </c:extLst>
        </c:ser>
        <c:dLbls>
          <c:showLegendKey val="0"/>
          <c:showVal val="0"/>
          <c:showCatName val="0"/>
          <c:showSerName val="0"/>
          <c:showPercent val="0"/>
          <c:showBubbleSize val="0"/>
        </c:dLbls>
        <c:smooth val="0"/>
        <c:axId val="685827743"/>
        <c:axId val="685818143"/>
      </c:lineChart>
      <c:catAx>
        <c:axId val="685827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818143"/>
        <c:crosses val="autoZero"/>
        <c:auto val="1"/>
        <c:lblAlgn val="ctr"/>
        <c:lblOffset val="100"/>
        <c:noMultiLvlLbl val="0"/>
      </c:catAx>
      <c:valAx>
        <c:axId val="685818143"/>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8277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'Claims- W-Med Only'!$P$3</c:f>
              <c:strCache>
                <c:ptCount val="1"/>
                <c:pt idx="0">
                  <c:v>% Util</c:v>
                </c:pt>
              </c:strCache>
            </c:strRef>
          </c:tx>
          <c:spPr>
            <a:ln w="28575" cap="rnd">
              <a:solidFill>
                <a:schemeClr val="accent1"/>
              </a:solidFill>
              <a:round/>
            </a:ln>
            <a:effectLst/>
          </c:spPr>
          <c:marker>
            <c:symbol val="none"/>
          </c:marker>
          <c:cat>
            <c:strRef>
              <c:f>'Claims- W-Med Only'!$B$4:$B$54</c:f>
              <c:strCache>
                <c:ptCount val="51"/>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strCache>
            </c:strRef>
          </c:cat>
          <c:val>
            <c:numRef>
              <c:f>'Claims- W-Med Only'!$P$4:$P$54</c:f>
              <c:numCache>
                <c:formatCode>0.0%</c:formatCode>
                <c:ptCount val="51"/>
                <c:pt idx="0">
                  <c:v>0.6120046171604463</c:v>
                </c:pt>
                <c:pt idx="1">
                  <c:v>0.61627997206487162</c:v>
                </c:pt>
                <c:pt idx="2">
                  <c:v>0.6295692665890571</c:v>
                </c:pt>
                <c:pt idx="3">
                  <c:v>0.64304791830322072</c:v>
                </c:pt>
                <c:pt idx="4">
                  <c:v>0.64442168294988966</c:v>
                </c:pt>
                <c:pt idx="5">
                  <c:v>0.64913385826771652</c:v>
                </c:pt>
                <c:pt idx="6">
                  <c:v>0.65019857029388406</c:v>
                </c:pt>
                <c:pt idx="7">
                  <c:v>0.65386138613861389</c:v>
                </c:pt>
                <c:pt idx="8">
                  <c:v>0.66324500676374631</c:v>
                </c:pt>
                <c:pt idx="9">
                  <c:v>0.67029561347743161</c:v>
                </c:pt>
                <c:pt idx="10">
                  <c:v>0.65788847465693667</c:v>
                </c:pt>
                <c:pt idx="11">
                  <c:v>0.66012759170653912</c:v>
                </c:pt>
                <c:pt idx="12">
                  <c:v>0.66522678185745143</c:v>
                </c:pt>
                <c:pt idx="13">
                  <c:v>0.67099567099567103</c:v>
                </c:pt>
                <c:pt idx="14">
                  <c:v>0.67680730125690503</c:v>
                </c:pt>
                <c:pt idx="15">
                  <c:v>0.68606148398519229</c:v>
                </c:pt>
                <c:pt idx="16">
                  <c:v>0.68670455455054835</c:v>
                </c:pt>
                <c:pt idx="17">
                  <c:v>0.68296201314313187</c:v>
                </c:pt>
                <c:pt idx="18">
                  <c:v>0.68535450753930061</c:v>
                </c:pt>
                <c:pt idx="19">
                  <c:v>0.69803291850662386</c:v>
                </c:pt>
                <c:pt idx="20">
                  <c:v>0.69388413748588029</c:v>
                </c:pt>
                <c:pt idx="21">
                  <c:v>0.69108383136811502</c:v>
                </c:pt>
                <c:pt idx="22">
                  <c:v>0.69080171507159616</c:v>
                </c:pt>
                <c:pt idx="23">
                  <c:v>0.69160554197229018</c:v>
                </c:pt>
                <c:pt idx="24">
                  <c:v>0.70008196721311478</c:v>
                </c:pt>
                <c:pt idx="25">
                  <c:v>0.710680412371134</c:v>
                </c:pt>
                <c:pt idx="26">
                  <c:v>0.71467436108821103</c:v>
                </c:pt>
                <c:pt idx="27">
                  <c:v>0.7146843962899122</c:v>
                </c:pt>
                <c:pt idx="28">
                  <c:v>0.71583264971287941</c:v>
                </c:pt>
                <c:pt idx="29">
                  <c:v>0.71671877571169984</c:v>
                </c:pt>
                <c:pt idx="30">
                  <c:v>0.6535523613963039</c:v>
                </c:pt>
                <c:pt idx="31">
                  <c:v>0.66592702169625251</c:v>
                </c:pt>
                <c:pt idx="32">
                  <c:v>0.67110672586745601</c:v>
                </c:pt>
                <c:pt idx="33">
                  <c:v>0.67280348483603192</c:v>
                </c:pt>
                <c:pt idx="34">
                  <c:v>0.68266292227636904</c:v>
                </c:pt>
                <c:pt idx="35">
                  <c:v>0.68985242911623279</c:v>
                </c:pt>
                <c:pt idx="36">
                  <c:v>0.70145000419076353</c:v>
                </c:pt>
                <c:pt idx="37">
                  <c:v>0.69985703473215033</c:v>
                </c:pt>
                <c:pt idx="38">
                  <c:v>0.69208087615838243</c:v>
                </c:pt>
                <c:pt idx="39">
                  <c:v>0.68974488083249408</c:v>
                </c:pt>
                <c:pt idx="40">
                  <c:v>0.69194114696539044</c:v>
                </c:pt>
                <c:pt idx="41">
                  <c:v>0.68976154744038687</c:v>
                </c:pt>
                <c:pt idx="42">
                  <c:v>0.68711554447215295</c:v>
                </c:pt>
                <c:pt idx="43">
                  <c:v>0.69087119633180494</c:v>
                </c:pt>
                <c:pt idx="44">
                  <c:v>0.68324064082344149</c:v>
                </c:pt>
                <c:pt idx="45">
                  <c:v>0.68615919821088378</c:v>
                </c:pt>
                <c:pt idx="46">
                  <c:v>0.6844204403822185</c:v>
                </c:pt>
                <c:pt idx="47">
                  <c:v>0.68248144751104811</c:v>
                </c:pt>
                <c:pt idx="48">
                  <c:v>0.67952795446936731</c:v>
                </c:pt>
                <c:pt idx="49">
                  <c:v>0.68481666525531371</c:v>
                </c:pt>
                <c:pt idx="50">
                  <c:v>0.68522465683348965</c:v>
                </c:pt>
              </c:numCache>
            </c:numRef>
          </c:val>
          <c:smooth val="0"/>
          <c:extLst>
            <c:ext xmlns:c16="http://schemas.microsoft.com/office/drawing/2014/chart" uri="{C3380CC4-5D6E-409C-BE32-E72D297353CC}">
              <c16:uniqueId val="{00000000-6988-4483-8A64-A79CFE98A7E9}"/>
            </c:ext>
          </c:extLst>
        </c:ser>
        <c:dLbls>
          <c:showLegendKey val="0"/>
          <c:showVal val="0"/>
          <c:showCatName val="0"/>
          <c:showSerName val="0"/>
          <c:showPercent val="0"/>
          <c:showBubbleSize val="0"/>
        </c:dLbls>
        <c:smooth val="0"/>
        <c:axId val="685831583"/>
        <c:axId val="685832063"/>
      </c:lineChart>
      <c:catAx>
        <c:axId val="685831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832063"/>
        <c:crosses val="autoZero"/>
        <c:auto val="1"/>
        <c:lblAlgn val="ctr"/>
        <c:lblOffset val="100"/>
        <c:noMultiLvlLbl val="0"/>
      </c:catAx>
      <c:valAx>
        <c:axId val="68583206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83158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'Claims- WO-Med Only'!$R$3</c:f>
              <c:strCache>
                <c:ptCount val="1"/>
                <c:pt idx="0">
                  <c:v>PCS PMPM ($)</c:v>
                </c:pt>
              </c:strCache>
            </c:strRef>
          </c:tx>
          <c:spPr>
            <a:ln w="28575" cap="rnd">
              <a:solidFill>
                <a:schemeClr val="accent1"/>
              </a:solidFill>
              <a:round/>
            </a:ln>
            <a:effectLst/>
          </c:spPr>
          <c:marker>
            <c:symbol val="none"/>
          </c:marker>
          <c:cat>
            <c:strRef>
              <c:f>'Claims- WO-Med Only'!$B$4:$B$54</c:f>
              <c:strCache>
                <c:ptCount val="51"/>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strCache>
            </c:strRef>
          </c:cat>
          <c:val>
            <c:numRef>
              <c:f>'Claims- WO-Med Only'!$R$4:$R$54</c:f>
              <c:numCache>
                <c:formatCode>_("$"* #,##0.00_);_("$"* \(#,##0.00\);_("$"* "-"??_);_(@_)</c:formatCode>
                <c:ptCount val="51"/>
                <c:pt idx="0">
                  <c:v>1620.4116148886283</c:v>
                </c:pt>
                <c:pt idx="1">
                  <c:v>1629.5203374777973</c:v>
                </c:pt>
                <c:pt idx="2">
                  <c:v>1536.7995291214218</c:v>
                </c:pt>
                <c:pt idx="3">
                  <c:v>1701.661571485623</c:v>
                </c:pt>
                <c:pt idx="4">
                  <c:v>1715.9989390451408</c:v>
                </c:pt>
                <c:pt idx="5">
                  <c:v>1731.042913</c:v>
                </c:pt>
                <c:pt idx="6">
                  <c:v>1755.3235452248612</c:v>
                </c:pt>
                <c:pt idx="7">
                  <c:v>1748.5976377161235</c:v>
                </c:pt>
                <c:pt idx="8">
                  <c:v>1764.2983304751338</c:v>
                </c:pt>
                <c:pt idx="9">
                  <c:v>1778.9045091530877</c:v>
                </c:pt>
                <c:pt idx="10">
                  <c:v>1754.3849577974279</c:v>
                </c:pt>
                <c:pt idx="11">
                  <c:v>1763.9977106005645</c:v>
                </c:pt>
                <c:pt idx="12">
                  <c:v>1766.2541344113185</c:v>
                </c:pt>
                <c:pt idx="13">
                  <c:v>1771.4725197648488</c:v>
                </c:pt>
                <c:pt idx="14">
                  <c:v>1789.3999403919984</c:v>
                </c:pt>
                <c:pt idx="15">
                  <c:v>1814.9543694746469</c:v>
                </c:pt>
                <c:pt idx="16">
                  <c:v>1818.7471291721288</c:v>
                </c:pt>
                <c:pt idx="17">
                  <c:v>1814.5419547657511</c:v>
                </c:pt>
                <c:pt idx="18">
                  <c:v>1816.094830371567</c:v>
                </c:pt>
                <c:pt idx="19">
                  <c:v>1831.2401749418545</c:v>
                </c:pt>
                <c:pt idx="20">
                  <c:v>1831.8229512021915</c:v>
                </c:pt>
                <c:pt idx="21">
                  <c:v>1833.5590667208289</c:v>
                </c:pt>
                <c:pt idx="22">
                  <c:v>1832.1715408869002</c:v>
                </c:pt>
                <c:pt idx="23">
                  <c:v>1825.9943528205129</c:v>
                </c:pt>
                <c:pt idx="24">
                  <c:v>1841.8279000515197</c:v>
                </c:pt>
                <c:pt idx="25">
                  <c:v>1856.7693494924381</c:v>
                </c:pt>
                <c:pt idx="26">
                  <c:v>1876.0955296675984</c:v>
                </c:pt>
                <c:pt idx="27">
                  <c:v>1874.64491857349</c:v>
                </c:pt>
                <c:pt idx="28">
                  <c:v>1877.2304389489955</c:v>
                </c:pt>
                <c:pt idx="29">
                  <c:v>1873.2282784261079</c:v>
                </c:pt>
                <c:pt idx="30">
                  <c:v>1842.9495963662644</c:v>
                </c:pt>
                <c:pt idx="31">
                  <c:v>1856.2269672554492</c:v>
                </c:pt>
                <c:pt idx="32">
                  <c:v>1861.3025418647921</c:v>
                </c:pt>
                <c:pt idx="33">
                  <c:v>1875.9668486096809</c:v>
                </c:pt>
                <c:pt idx="34">
                  <c:v>1889.6584776984371</c:v>
                </c:pt>
                <c:pt idx="35">
                  <c:v>1901.2382897467828</c:v>
                </c:pt>
                <c:pt idx="36">
                  <c:v>1919.2328846153848</c:v>
                </c:pt>
                <c:pt idx="37">
                  <c:v>1914.4572239681543</c:v>
                </c:pt>
                <c:pt idx="38">
                  <c:v>1915.0170490082901</c:v>
                </c:pt>
                <c:pt idx="39">
                  <c:v>1930.3213549598418</c:v>
                </c:pt>
                <c:pt idx="40">
                  <c:v>1911.5281918435289</c:v>
                </c:pt>
                <c:pt idx="41">
                  <c:v>1914.5123639755416</c:v>
                </c:pt>
                <c:pt idx="42">
                  <c:v>1897.3390464396284</c:v>
                </c:pt>
                <c:pt idx="43">
                  <c:v>1908.236920454545</c:v>
                </c:pt>
                <c:pt idx="44">
                  <c:v>1893.5384434836324</c:v>
                </c:pt>
                <c:pt idx="45">
                  <c:v>1893.5432357172215</c:v>
                </c:pt>
                <c:pt idx="46">
                  <c:v>1892.0011146628169</c:v>
                </c:pt>
                <c:pt idx="47">
                  <c:v>1871.9853929089779</c:v>
                </c:pt>
                <c:pt idx="48">
                  <c:v>1857.8479263344086</c:v>
                </c:pt>
                <c:pt idx="49">
                  <c:v>1872.3384142224097</c:v>
                </c:pt>
                <c:pt idx="50">
                  <c:v>1896.8649558557599</c:v>
                </c:pt>
              </c:numCache>
            </c:numRef>
          </c:val>
          <c:smooth val="0"/>
          <c:extLst>
            <c:ext xmlns:c16="http://schemas.microsoft.com/office/drawing/2014/chart" uri="{C3380CC4-5D6E-409C-BE32-E72D297353CC}">
              <c16:uniqueId val="{00000000-6A69-441C-A317-55BEBC91FDE8}"/>
            </c:ext>
          </c:extLst>
        </c:ser>
        <c:dLbls>
          <c:showLegendKey val="0"/>
          <c:showVal val="0"/>
          <c:showCatName val="0"/>
          <c:showSerName val="0"/>
          <c:showPercent val="0"/>
          <c:showBubbleSize val="0"/>
        </c:dLbls>
        <c:smooth val="0"/>
        <c:axId val="685827743"/>
        <c:axId val="685818143"/>
      </c:lineChart>
      <c:catAx>
        <c:axId val="685827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818143"/>
        <c:crosses val="autoZero"/>
        <c:auto val="1"/>
        <c:lblAlgn val="ctr"/>
        <c:lblOffset val="100"/>
        <c:noMultiLvlLbl val="0"/>
      </c:catAx>
      <c:valAx>
        <c:axId val="685818143"/>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8277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'Claims- WO-Med Only'!$S$3</c:f>
              <c:strCache>
                <c:ptCount val="1"/>
                <c:pt idx="0">
                  <c:v>% Util</c:v>
                </c:pt>
              </c:strCache>
            </c:strRef>
          </c:tx>
          <c:spPr>
            <a:ln w="28575" cap="rnd">
              <a:solidFill>
                <a:schemeClr val="accent1"/>
              </a:solidFill>
              <a:round/>
            </a:ln>
            <a:effectLst/>
          </c:spPr>
          <c:marker>
            <c:symbol val="none"/>
          </c:marker>
          <c:cat>
            <c:strRef>
              <c:f>'Claims- WO-Med Only'!$B$4:$B$54</c:f>
              <c:strCache>
                <c:ptCount val="51"/>
                <c:pt idx="0">
                  <c:v>2022-01</c:v>
                </c:pt>
                <c:pt idx="1">
                  <c:v>2022-02</c:v>
                </c:pt>
                <c:pt idx="2">
                  <c:v>2022-03</c:v>
                </c:pt>
                <c:pt idx="3">
                  <c:v>2022-04</c:v>
                </c:pt>
                <c:pt idx="4">
                  <c:v>2022-05</c:v>
                </c:pt>
                <c:pt idx="5">
                  <c:v>2022-06</c:v>
                </c:pt>
                <c:pt idx="6">
                  <c:v>2022-07</c:v>
                </c:pt>
                <c:pt idx="7">
                  <c:v>2022-08</c:v>
                </c:pt>
                <c:pt idx="8">
                  <c:v>2022-09</c:v>
                </c:pt>
                <c:pt idx="9">
                  <c:v>2022-10</c:v>
                </c:pt>
                <c:pt idx="10">
                  <c:v>2022-11</c:v>
                </c:pt>
                <c:pt idx="11">
                  <c:v>2022-12</c:v>
                </c:pt>
                <c:pt idx="12">
                  <c:v>2023-01</c:v>
                </c:pt>
                <c:pt idx="13">
                  <c:v>2023-02</c:v>
                </c:pt>
                <c:pt idx="14">
                  <c:v>2023-03</c:v>
                </c:pt>
                <c:pt idx="15">
                  <c:v>2023-04</c:v>
                </c:pt>
                <c:pt idx="16">
                  <c:v>2023-05</c:v>
                </c:pt>
                <c:pt idx="17">
                  <c:v>2023-06</c:v>
                </c:pt>
                <c:pt idx="18">
                  <c:v>2023-07</c:v>
                </c:pt>
                <c:pt idx="19">
                  <c:v>2023-08</c:v>
                </c:pt>
                <c:pt idx="20">
                  <c:v>2023-09</c:v>
                </c:pt>
                <c:pt idx="21">
                  <c:v>2023-10</c:v>
                </c:pt>
                <c:pt idx="22">
                  <c:v>2023-11</c:v>
                </c:pt>
                <c:pt idx="23">
                  <c:v>2023-12</c:v>
                </c:pt>
                <c:pt idx="24">
                  <c:v>2024-01</c:v>
                </c:pt>
                <c:pt idx="25">
                  <c:v>2024-02</c:v>
                </c:pt>
                <c:pt idx="26">
                  <c:v>2024-03</c:v>
                </c:pt>
                <c:pt idx="27">
                  <c:v>2024-04</c:v>
                </c:pt>
                <c:pt idx="28">
                  <c:v>2024-05</c:v>
                </c:pt>
                <c:pt idx="29">
                  <c:v>2024-06</c:v>
                </c:pt>
                <c:pt idx="30">
                  <c:v>2024-07</c:v>
                </c:pt>
                <c:pt idx="31">
                  <c:v>2024-08</c:v>
                </c:pt>
                <c:pt idx="32">
                  <c:v>2024-09</c:v>
                </c:pt>
                <c:pt idx="33">
                  <c:v>2024-10</c:v>
                </c:pt>
                <c:pt idx="34">
                  <c:v>2024-11</c:v>
                </c:pt>
                <c:pt idx="35">
                  <c:v>2024-12</c:v>
                </c:pt>
                <c:pt idx="36">
                  <c:v>2025-01</c:v>
                </c:pt>
                <c:pt idx="37">
                  <c:v>2025-02</c:v>
                </c:pt>
                <c:pt idx="38">
                  <c:v>2025-03</c:v>
                </c:pt>
                <c:pt idx="39">
                  <c:v>2025-04</c:v>
                </c:pt>
                <c:pt idx="40">
                  <c:v>2025-05</c:v>
                </c:pt>
                <c:pt idx="41">
                  <c:v>2025-06</c:v>
                </c:pt>
                <c:pt idx="42">
                  <c:v>2025-07</c:v>
                </c:pt>
                <c:pt idx="43">
                  <c:v>2025-08</c:v>
                </c:pt>
                <c:pt idx="44">
                  <c:v>2025-09</c:v>
                </c:pt>
                <c:pt idx="45">
                  <c:v>2025-10</c:v>
                </c:pt>
                <c:pt idx="46">
                  <c:v>2025-11</c:v>
                </c:pt>
                <c:pt idx="47">
                  <c:v>2025-12</c:v>
                </c:pt>
                <c:pt idx="48">
                  <c:v>2026-01</c:v>
                </c:pt>
                <c:pt idx="49">
                  <c:v>2026-02</c:v>
                </c:pt>
                <c:pt idx="50">
                  <c:v>2026-03</c:v>
                </c:pt>
              </c:strCache>
            </c:strRef>
          </c:cat>
          <c:val>
            <c:numRef>
              <c:f>'Claims- WO-Med Only'!$S$4:$S$54</c:f>
              <c:numCache>
                <c:formatCode>0.0%</c:formatCode>
                <c:ptCount val="51"/>
                <c:pt idx="0">
                  <c:v>0.70320437670965219</c:v>
                </c:pt>
                <c:pt idx="1">
                  <c:v>0.70850601934083279</c:v>
                </c:pt>
                <c:pt idx="2">
                  <c:v>0.72122408687068118</c:v>
                </c:pt>
                <c:pt idx="3">
                  <c:v>0.73562300319488816</c:v>
                </c:pt>
                <c:pt idx="4">
                  <c:v>0.7363627264538084</c:v>
                </c:pt>
                <c:pt idx="5">
                  <c:v>0.74229999999999996</c:v>
                </c:pt>
                <c:pt idx="6">
                  <c:v>0.74593228903486608</c:v>
                </c:pt>
                <c:pt idx="7">
                  <c:v>0.74829111379171698</c:v>
                </c:pt>
                <c:pt idx="8">
                  <c:v>0.75749016443054573</c:v>
                </c:pt>
                <c:pt idx="9">
                  <c:v>0.76443371555019113</c:v>
                </c:pt>
                <c:pt idx="10">
                  <c:v>0.75040192926045013</c:v>
                </c:pt>
                <c:pt idx="11">
                  <c:v>0.75392986698911724</c:v>
                </c:pt>
                <c:pt idx="12">
                  <c:v>0.75755432036382009</c:v>
                </c:pt>
                <c:pt idx="13">
                  <c:v>0.76383539428339753</c:v>
                </c:pt>
                <c:pt idx="14">
                  <c:v>0.76954940391998383</c:v>
                </c:pt>
                <c:pt idx="15">
                  <c:v>0.78030687938217658</c:v>
                </c:pt>
                <c:pt idx="16">
                  <c:v>0.77755369567409494</c:v>
                </c:pt>
                <c:pt idx="17">
                  <c:v>0.7741316639741519</c:v>
                </c:pt>
                <c:pt idx="18">
                  <c:v>0.77574717285945072</c:v>
                </c:pt>
                <c:pt idx="19">
                  <c:v>0.79138436646779253</c:v>
                </c:pt>
                <c:pt idx="20">
                  <c:v>0.78451861621182917</c:v>
                </c:pt>
                <c:pt idx="21">
                  <c:v>0.78155783487356556</c:v>
                </c:pt>
                <c:pt idx="22">
                  <c:v>0.78102115541090322</c:v>
                </c:pt>
                <c:pt idx="23">
                  <c:v>0.78082051282051279</c:v>
                </c:pt>
                <c:pt idx="24">
                  <c:v>0.78815043791859862</c:v>
                </c:pt>
                <c:pt idx="25">
                  <c:v>0.79863269111249224</c:v>
                </c:pt>
                <c:pt idx="26">
                  <c:v>0.80221600911256086</c:v>
                </c:pt>
                <c:pt idx="27">
                  <c:v>0.80241187384044532</c:v>
                </c:pt>
                <c:pt idx="28">
                  <c:v>0.80370942812983004</c:v>
                </c:pt>
                <c:pt idx="29">
                  <c:v>0.80295363007332443</c:v>
                </c:pt>
                <c:pt idx="30">
                  <c:v>0.78672447610199236</c:v>
                </c:pt>
                <c:pt idx="31">
                  <c:v>0.80022724925111044</c:v>
                </c:pt>
                <c:pt idx="32">
                  <c:v>0.80566466818275795</c:v>
                </c:pt>
                <c:pt idx="33">
                  <c:v>0.80442842430484041</c:v>
                </c:pt>
                <c:pt idx="34">
                  <c:v>0.81579219704025663</c:v>
                </c:pt>
                <c:pt idx="35">
                  <c:v>0.82243669572436695</c:v>
                </c:pt>
                <c:pt idx="36">
                  <c:v>0.83256688963210701</c:v>
                </c:pt>
                <c:pt idx="37">
                  <c:v>0.8289335847475382</c:v>
                </c:pt>
                <c:pt idx="38">
                  <c:v>0.82159722950991709</c:v>
                </c:pt>
                <c:pt idx="39">
                  <c:v>0.81610514238030663</c:v>
                </c:pt>
                <c:pt idx="40">
                  <c:v>0.81991260923845188</c:v>
                </c:pt>
                <c:pt idx="41">
                  <c:v>0.81656130168929419</c:v>
                </c:pt>
                <c:pt idx="42">
                  <c:v>0.81155830753353975</c:v>
                </c:pt>
                <c:pt idx="43">
                  <c:v>0.81404958677685946</c:v>
                </c:pt>
                <c:pt idx="44">
                  <c:v>0.80553839818818196</c:v>
                </c:pt>
                <c:pt idx="45">
                  <c:v>0.80867242087957258</c:v>
                </c:pt>
                <c:pt idx="46">
                  <c:v>0.80604248298618275</c:v>
                </c:pt>
                <c:pt idx="47">
                  <c:v>0.80551523947750359</c:v>
                </c:pt>
                <c:pt idx="48">
                  <c:v>0.79960461970658625</c:v>
                </c:pt>
                <c:pt idx="49">
                  <c:v>0.80660476893859467</c:v>
                </c:pt>
                <c:pt idx="50">
                  <c:v>0.80704180406339754</c:v>
                </c:pt>
              </c:numCache>
            </c:numRef>
          </c:val>
          <c:smooth val="0"/>
          <c:extLst>
            <c:ext xmlns:c16="http://schemas.microsoft.com/office/drawing/2014/chart" uri="{C3380CC4-5D6E-409C-BE32-E72D297353CC}">
              <c16:uniqueId val="{00000000-1646-4F22-8C61-FF87AAB0D6D6}"/>
            </c:ext>
          </c:extLst>
        </c:ser>
        <c:dLbls>
          <c:showLegendKey val="0"/>
          <c:showVal val="0"/>
          <c:showCatName val="0"/>
          <c:showSerName val="0"/>
          <c:showPercent val="0"/>
          <c:showBubbleSize val="0"/>
        </c:dLbls>
        <c:smooth val="0"/>
        <c:axId val="685831583"/>
        <c:axId val="685832063"/>
      </c:lineChart>
      <c:catAx>
        <c:axId val="685831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832063"/>
        <c:crosses val="autoZero"/>
        <c:auto val="1"/>
        <c:lblAlgn val="ctr"/>
        <c:lblOffset val="100"/>
        <c:noMultiLvlLbl val="0"/>
      </c:catAx>
      <c:valAx>
        <c:axId val="68583206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583158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7</xdr:col>
      <xdr:colOff>0</xdr:colOff>
      <xdr:row>4</xdr:row>
      <xdr:rowOff>0</xdr:rowOff>
    </xdr:from>
    <xdr:to>
      <xdr:col>14</xdr:col>
      <xdr:colOff>304800</xdr:colOff>
      <xdr:row>20</xdr:row>
      <xdr:rowOff>152400</xdr:rowOff>
    </xdr:to>
    <xdr:graphicFrame macro="">
      <xdr:nvGraphicFramePr>
        <xdr:cNvPr id="3" name="Chart 2">
          <a:extLst>
            <a:ext uri="{FF2B5EF4-FFF2-40B4-BE49-F238E27FC236}">
              <a16:creationId xmlns:a16="http://schemas.microsoft.com/office/drawing/2014/main" id="{1D0D482A-11EE-4BF3-8EA2-D39D2EAB24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0</xdr:colOff>
      <xdr:row>3</xdr:row>
      <xdr:rowOff>0</xdr:rowOff>
    </xdr:from>
    <xdr:to>
      <xdr:col>25</xdr:col>
      <xdr:colOff>304800</xdr:colOff>
      <xdr:row>19</xdr:row>
      <xdr:rowOff>152400</xdr:rowOff>
    </xdr:to>
    <xdr:graphicFrame macro="">
      <xdr:nvGraphicFramePr>
        <xdr:cNvPr id="3" name="Chart 2">
          <a:extLst>
            <a:ext uri="{FF2B5EF4-FFF2-40B4-BE49-F238E27FC236}">
              <a16:creationId xmlns:a16="http://schemas.microsoft.com/office/drawing/2014/main" id="{BE9BCE84-5DA7-409B-B797-CD79D53876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0</xdr:colOff>
      <xdr:row>21</xdr:row>
      <xdr:rowOff>14287</xdr:rowOff>
    </xdr:from>
    <xdr:to>
      <xdr:col>25</xdr:col>
      <xdr:colOff>304800</xdr:colOff>
      <xdr:row>38</xdr:row>
      <xdr:rowOff>4762</xdr:rowOff>
    </xdr:to>
    <xdr:graphicFrame macro="">
      <xdr:nvGraphicFramePr>
        <xdr:cNvPr id="4" name="Chart 3">
          <a:extLst>
            <a:ext uri="{FF2B5EF4-FFF2-40B4-BE49-F238E27FC236}">
              <a16:creationId xmlns:a16="http://schemas.microsoft.com/office/drawing/2014/main" id="{3B43E692-857A-12DE-ED53-1891CC84FF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0</xdr:colOff>
      <xdr:row>3</xdr:row>
      <xdr:rowOff>0</xdr:rowOff>
    </xdr:from>
    <xdr:to>
      <xdr:col>25</xdr:col>
      <xdr:colOff>304800</xdr:colOff>
      <xdr:row>19</xdr:row>
      <xdr:rowOff>152400</xdr:rowOff>
    </xdr:to>
    <xdr:graphicFrame macro="">
      <xdr:nvGraphicFramePr>
        <xdr:cNvPr id="2" name="Chart 1">
          <a:extLst>
            <a:ext uri="{FF2B5EF4-FFF2-40B4-BE49-F238E27FC236}">
              <a16:creationId xmlns:a16="http://schemas.microsoft.com/office/drawing/2014/main" id="{F111BC7C-6BD3-42DE-B324-AA6A97354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0</xdr:colOff>
      <xdr:row>21</xdr:row>
      <xdr:rowOff>14287</xdr:rowOff>
    </xdr:from>
    <xdr:to>
      <xdr:col>25</xdr:col>
      <xdr:colOff>304800</xdr:colOff>
      <xdr:row>38</xdr:row>
      <xdr:rowOff>4762</xdr:rowOff>
    </xdr:to>
    <xdr:graphicFrame macro="">
      <xdr:nvGraphicFramePr>
        <xdr:cNvPr id="3" name="Chart 2">
          <a:extLst>
            <a:ext uri="{FF2B5EF4-FFF2-40B4-BE49-F238E27FC236}">
              <a16:creationId xmlns:a16="http://schemas.microsoft.com/office/drawing/2014/main" id="{17863B72-5F83-4D35-8DAE-18A055B95B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0</xdr:colOff>
      <xdr:row>3</xdr:row>
      <xdr:rowOff>0</xdr:rowOff>
    </xdr:from>
    <xdr:to>
      <xdr:col>28</xdr:col>
      <xdr:colOff>304800</xdr:colOff>
      <xdr:row>19</xdr:row>
      <xdr:rowOff>152400</xdr:rowOff>
    </xdr:to>
    <xdr:graphicFrame macro="">
      <xdr:nvGraphicFramePr>
        <xdr:cNvPr id="2" name="Chart 1">
          <a:extLst>
            <a:ext uri="{FF2B5EF4-FFF2-40B4-BE49-F238E27FC236}">
              <a16:creationId xmlns:a16="http://schemas.microsoft.com/office/drawing/2014/main" id="{F44AF01A-6402-445D-9B19-6CB47BE245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21</xdr:row>
      <xdr:rowOff>14287</xdr:rowOff>
    </xdr:from>
    <xdr:to>
      <xdr:col>28</xdr:col>
      <xdr:colOff>304800</xdr:colOff>
      <xdr:row>38</xdr:row>
      <xdr:rowOff>4762</xdr:rowOff>
    </xdr:to>
    <xdr:graphicFrame macro="">
      <xdr:nvGraphicFramePr>
        <xdr:cNvPr id="3" name="Chart 2">
          <a:extLst>
            <a:ext uri="{FF2B5EF4-FFF2-40B4-BE49-F238E27FC236}">
              <a16:creationId xmlns:a16="http://schemas.microsoft.com/office/drawing/2014/main" id="{ABE1A12E-57EC-4C91-BBD8-154D5A182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0EDD9-B189-4694-96B4-1DABAF484C54}">
  <sheetPr>
    <tabColor theme="3" tint="0.749992370372631"/>
  </sheetPr>
  <dimension ref="B2:L23"/>
  <sheetViews>
    <sheetView tabSelected="1" zoomScale="130" zoomScaleNormal="130" workbookViewId="0">
      <selection activeCell="B5" sqref="B5:L17"/>
    </sheetView>
  </sheetViews>
  <sheetFormatPr defaultRowHeight="13.8" x14ac:dyDescent="0.3"/>
  <cols>
    <col min="1" max="1" width="2.6640625" customWidth="1"/>
    <col min="2" max="2" width="30" customWidth="1"/>
    <col min="3" max="3" width="10.88671875" bestFit="1" customWidth="1"/>
    <col min="4" max="7" width="11.88671875" bestFit="1" customWidth="1"/>
    <col min="13" max="13" width="2.6640625" customWidth="1"/>
  </cols>
  <sheetData>
    <row r="2" spans="2:12" x14ac:dyDescent="0.3">
      <c r="B2" s="5" t="s">
        <v>0</v>
      </c>
    </row>
    <row r="4" spans="2:12" x14ac:dyDescent="0.3">
      <c r="B4" s="5" t="s">
        <v>1</v>
      </c>
    </row>
    <row r="5" spans="2:12" x14ac:dyDescent="0.3">
      <c r="B5" s="64" t="s">
        <v>2</v>
      </c>
      <c r="C5" s="64"/>
      <c r="D5" s="64"/>
      <c r="E5" s="64"/>
      <c r="F5" s="64"/>
      <c r="G5" s="64"/>
      <c r="H5" s="64"/>
      <c r="I5" s="64"/>
      <c r="J5" s="64"/>
      <c r="K5" s="64"/>
      <c r="L5" s="64"/>
    </row>
    <row r="6" spans="2:12" x14ac:dyDescent="0.3">
      <c r="B6" s="64"/>
      <c r="C6" s="64"/>
      <c r="D6" s="64"/>
      <c r="E6" s="64"/>
      <c r="F6" s="64"/>
      <c r="G6" s="64"/>
      <c r="H6" s="64"/>
      <c r="I6" s="64"/>
      <c r="J6" s="64"/>
      <c r="K6" s="64"/>
      <c r="L6" s="64"/>
    </row>
    <row r="7" spans="2:12" x14ac:dyDescent="0.3">
      <c r="B7" s="64"/>
      <c r="C7" s="64"/>
      <c r="D7" s="64"/>
      <c r="E7" s="64"/>
      <c r="F7" s="64"/>
      <c r="G7" s="64"/>
      <c r="H7" s="64"/>
      <c r="I7" s="64"/>
      <c r="J7" s="64"/>
      <c r="K7" s="64"/>
      <c r="L7" s="64"/>
    </row>
    <row r="8" spans="2:12" x14ac:dyDescent="0.3">
      <c r="B8" s="64"/>
      <c r="C8" s="64"/>
      <c r="D8" s="64"/>
      <c r="E8" s="64"/>
      <c r="F8" s="64"/>
      <c r="G8" s="64"/>
      <c r="H8" s="64"/>
      <c r="I8" s="64"/>
      <c r="J8" s="64"/>
      <c r="K8" s="64"/>
      <c r="L8" s="64"/>
    </row>
    <row r="9" spans="2:12" x14ac:dyDescent="0.3">
      <c r="B9" s="64"/>
      <c r="C9" s="64"/>
      <c r="D9" s="64"/>
      <c r="E9" s="64"/>
      <c r="F9" s="64"/>
      <c r="G9" s="64"/>
      <c r="H9" s="64"/>
      <c r="I9" s="64"/>
      <c r="J9" s="64"/>
      <c r="K9" s="64"/>
      <c r="L9" s="64"/>
    </row>
    <row r="10" spans="2:12" x14ac:dyDescent="0.3">
      <c r="B10" s="64"/>
      <c r="C10" s="64"/>
      <c r="D10" s="64"/>
      <c r="E10" s="64"/>
      <c r="F10" s="64"/>
      <c r="G10" s="64"/>
      <c r="H10" s="64"/>
      <c r="I10" s="64"/>
      <c r="J10" s="64"/>
      <c r="K10" s="64"/>
      <c r="L10" s="64"/>
    </row>
    <row r="11" spans="2:12" x14ac:dyDescent="0.3">
      <c r="B11" s="64"/>
      <c r="C11" s="64"/>
      <c r="D11" s="64"/>
      <c r="E11" s="64"/>
      <c r="F11" s="64"/>
      <c r="G11" s="64"/>
      <c r="H11" s="64"/>
      <c r="I11" s="64"/>
      <c r="J11" s="64"/>
      <c r="K11" s="64"/>
      <c r="L11" s="64"/>
    </row>
    <row r="12" spans="2:12" x14ac:dyDescent="0.3">
      <c r="B12" s="64"/>
      <c r="C12" s="64"/>
      <c r="D12" s="64"/>
      <c r="E12" s="64"/>
      <c r="F12" s="64"/>
      <c r="G12" s="64"/>
      <c r="H12" s="64"/>
      <c r="I12" s="64"/>
      <c r="J12" s="64"/>
      <c r="K12" s="64"/>
      <c r="L12" s="64"/>
    </row>
    <row r="13" spans="2:12" x14ac:dyDescent="0.3">
      <c r="B13" s="64"/>
      <c r="C13" s="64"/>
      <c r="D13" s="64"/>
      <c r="E13" s="64"/>
      <c r="F13" s="64"/>
      <c r="G13" s="64"/>
      <c r="H13" s="64"/>
      <c r="I13" s="64"/>
      <c r="J13" s="64"/>
      <c r="K13" s="64"/>
      <c r="L13" s="64"/>
    </row>
    <row r="14" spans="2:12" x14ac:dyDescent="0.3">
      <c r="B14" s="64"/>
      <c r="C14" s="64"/>
      <c r="D14" s="64"/>
      <c r="E14" s="64"/>
      <c r="F14" s="64"/>
      <c r="G14" s="64"/>
      <c r="H14" s="64"/>
      <c r="I14" s="64"/>
      <c r="J14" s="64"/>
      <c r="K14" s="64"/>
      <c r="L14" s="64"/>
    </row>
    <row r="15" spans="2:12" x14ac:dyDescent="0.3">
      <c r="B15" s="64"/>
      <c r="C15" s="64"/>
      <c r="D15" s="64"/>
      <c r="E15" s="64"/>
      <c r="F15" s="64"/>
      <c r="G15" s="64"/>
      <c r="H15" s="64"/>
      <c r="I15" s="64"/>
      <c r="J15" s="64"/>
      <c r="K15" s="64"/>
      <c r="L15" s="64"/>
    </row>
    <row r="16" spans="2:12" x14ac:dyDescent="0.3">
      <c r="B16" s="64"/>
      <c r="C16" s="64"/>
      <c r="D16" s="64"/>
      <c r="E16" s="64"/>
      <c r="F16" s="64"/>
      <c r="G16" s="64"/>
      <c r="H16" s="64"/>
      <c r="I16" s="64"/>
      <c r="J16" s="64"/>
      <c r="K16" s="64"/>
      <c r="L16" s="64"/>
    </row>
    <row r="17" spans="2:12" ht="48.75" customHeight="1" x14ac:dyDescent="0.3">
      <c r="B17" s="64"/>
      <c r="C17" s="64"/>
      <c r="D17" s="64"/>
      <c r="E17" s="64"/>
      <c r="F17" s="64"/>
      <c r="G17" s="64"/>
      <c r="H17" s="64"/>
      <c r="I17" s="64"/>
      <c r="J17" s="64"/>
      <c r="K17" s="64"/>
      <c r="L17" s="64"/>
    </row>
    <row r="20" spans="2:12" x14ac:dyDescent="0.3">
      <c r="B20" s="60" t="s">
        <v>3</v>
      </c>
      <c r="C20" s="47" t="s">
        <v>4</v>
      </c>
      <c r="D20" s="47" t="s">
        <v>5</v>
      </c>
      <c r="E20" s="47" t="s">
        <v>6</v>
      </c>
      <c r="F20" s="47" t="s">
        <v>7</v>
      </c>
      <c r="G20" s="47" t="s">
        <v>8</v>
      </c>
    </row>
    <row r="21" spans="2:12" x14ac:dyDescent="0.3">
      <c r="B21" s="1" t="s">
        <v>9</v>
      </c>
      <c r="C21" s="46">
        <f>Projection!E46</f>
        <v>67577933.542134315</v>
      </c>
      <c r="D21" s="46">
        <f>Projection!H46</f>
        <v>88239685.444739789</v>
      </c>
      <c r="E21" s="46">
        <f>Projection!K46</f>
        <v>88814419.556324348</v>
      </c>
      <c r="F21" s="46">
        <f>Projection!N46</f>
        <v>89392897.100326598</v>
      </c>
      <c r="G21" s="46">
        <f>Projection!Q46</f>
        <v>89975142.458953843</v>
      </c>
    </row>
    <row r="23" spans="2:12" x14ac:dyDescent="0.3">
      <c r="G23" s="63"/>
    </row>
  </sheetData>
  <sheetProtection algorithmName="SHA-512" hashValue="f6KtfEfE/har8JVNTw7fo88yMEF8z9NJ1R7/QUNyPUHKijWvIBeow8ISMnnKYer1CQnyXisGJQvCh/RhdPy/Tg==" saltValue="AeNEF63Uc9JqeZ8xXczdzA==" spinCount="100000" sheet="1" objects="1" scenarios="1"/>
  <mergeCells count="1">
    <mergeCell ref="B5:L17"/>
  </mergeCells>
  <phoneticPr fontId="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95D08-C21A-4641-8C25-A73CAEA206D3}">
  <sheetPr>
    <tabColor theme="3" tint="0.89999084444715716"/>
  </sheetPr>
  <dimension ref="B1:V48"/>
  <sheetViews>
    <sheetView zoomScaleNormal="100" workbookViewId="0">
      <selection activeCell="C17" sqref="C17:D17"/>
    </sheetView>
  </sheetViews>
  <sheetFormatPr defaultRowHeight="13.8" x14ac:dyDescent="0.3"/>
  <cols>
    <col min="1" max="1" width="2.6640625" customWidth="1"/>
    <col min="2" max="2" width="18.44140625" customWidth="1"/>
    <col min="3" max="4" width="13.109375" bestFit="1" customWidth="1"/>
    <col min="5" max="5" width="12" bestFit="1" customWidth="1"/>
    <col min="6" max="15" width="13.109375" bestFit="1" customWidth="1"/>
    <col min="16" max="16" width="12" bestFit="1" customWidth="1"/>
    <col min="17" max="18" width="13.109375" bestFit="1" customWidth="1"/>
    <col min="21" max="21" width="10" bestFit="1" customWidth="1"/>
    <col min="22" max="22" width="13.109375" bestFit="1" customWidth="1"/>
    <col min="23" max="23" width="2.6640625" customWidth="1"/>
  </cols>
  <sheetData>
    <row r="1" spans="2:18" x14ac:dyDescent="0.3">
      <c r="B1" s="5"/>
      <c r="C1" s="5"/>
    </row>
    <row r="2" spans="2:18" x14ac:dyDescent="0.3">
      <c r="B2" s="5" t="s">
        <v>0</v>
      </c>
    </row>
    <row r="4" spans="2:18" x14ac:dyDescent="0.3">
      <c r="B4" s="8" t="s">
        <v>10</v>
      </c>
    </row>
    <row r="5" spans="2:18" x14ac:dyDescent="0.3">
      <c r="B5" s="5" t="s">
        <v>11</v>
      </c>
      <c r="C5" s="34">
        <v>6000</v>
      </c>
    </row>
    <row r="6" spans="2:18" x14ac:dyDescent="0.3">
      <c r="C6" s="12" t="s">
        <v>12</v>
      </c>
      <c r="D6" s="12"/>
      <c r="E6" s="12"/>
      <c r="F6" s="12"/>
      <c r="G6" s="12"/>
      <c r="H6" s="12"/>
      <c r="I6" s="12"/>
      <c r="J6" s="12"/>
      <c r="K6" s="12"/>
      <c r="L6" s="12"/>
      <c r="M6" s="12"/>
      <c r="N6" s="12"/>
      <c r="O6" s="12" t="s">
        <v>13</v>
      </c>
      <c r="P6" s="12" t="s">
        <v>14</v>
      </c>
      <c r="Q6" s="12" t="s">
        <v>15</v>
      </c>
      <c r="R6" s="12" t="s">
        <v>16</v>
      </c>
    </row>
    <row r="7" spans="2:18" x14ac:dyDescent="0.3">
      <c r="B7" s="11" t="s">
        <v>17</v>
      </c>
      <c r="C7" s="13">
        <v>202701</v>
      </c>
      <c r="D7" s="13">
        <f>C7+1</f>
        <v>202702</v>
      </c>
      <c r="E7" s="13">
        <f t="shared" ref="E7:N7" si="0">D7+1</f>
        <v>202703</v>
      </c>
      <c r="F7" s="13">
        <f t="shared" si="0"/>
        <v>202704</v>
      </c>
      <c r="G7" s="13">
        <f t="shared" si="0"/>
        <v>202705</v>
      </c>
      <c r="H7" s="13">
        <f t="shared" si="0"/>
        <v>202706</v>
      </c>
      <c r="I7" s="13">
        <f t="shared" si="0"/>
        <v>202707</v>
      </c>
      <c r="J7" s="13">
        <f t="shared" si="0"/>
        <v>202708</v>
      </c>
      <c r="K7" s="13">
        <f t="shared" si="0"/>
        <v>202709</v>
      </c>
      <c r="L7" s="13">
        <f t="shared" si="0"/>
        <v>202710</v>
      </c>
      <c r="M7" s="13">
        <f t="shared" si="0"/>
        <v>202711</v>
      </c>
      <c r="N7" s="13">
        <f t="shared" si="0"/>
        <v>202712</v>
      </c>
      <c r="O7" s="13">
        <v>2028</v>
      </c>
      <c r="P7" s="13">
        <v>2029</v>
      </c>
      <c r="Q7" s="13">
        <v>2030</v>
      </c>
      <c r="R7" s="13">
        <v>2031</v>
      </c>
    </row>
    <row r="8" spans="2:18" x14ac:dyDescent="0.3">
      <c r="B8" s="35" t="s">
        <v>18</v>
      </c>
      <c r="C8" s="36">
        <f>$N8*0.5</f>
        <v>2060.4778321657236</v>
      </c>
      <c r="D8" s="36">
        <f>$N8*0.55</f>
        <v>2266.5256153822961</v>
      </c>
      <c r="E8" s="36">
        <f>$N8*0.6</f>
        <v>2472.5733985988682</v>
      </c>
      <c r="F8" s="36">
        <f>$N8*0.65</f>
        <v>2678.6211818154407</v>
      </c>
      <c r="G8" s="36">
        <f>$N8*0.7</f>
        <v>2884.6689650320127</v>
      </c>
      <c r="H8" s="36">
        <f>$N8*0.75</f>
        <v>3090.7167482485856</v>
      </c>
      <c r="I8" s="36">
        <f>$N8*0.8</f>
        <v>3296.7645314651581</v>
      </c>
      <c r="J8" s="36">
        <f>$N8*0.85</f>
        <v>3502.8123146817302</v>
      </c>
      <c r="K8" s="36">
        <f>$N8*0.9</f>
        <v>3708.8600978983027</v>
      </c>
      <c r="L8" s="36">
        <f>$N8*0.95</f>
        <v>3914.9078811148747</v>
      </c>
      <c r="M8" s="36">
        <f>N8</f>
        <v>4120.9556643314472</v>
      </c>
      <c r="N8" s="36">
        <f>$O8/12</f>
        <v>4120.9556643314472</v>
      </c>
      <c r="O8" s="36">
        <f>$C$5*_xlfn.XLOOKUP(B8,$B$16:$B$18,$L$16:$L$18)/$L$19*12</f>
        <v>49451.46797197737</v>
      </c>
      <c r="P8" s="36">
        <f t="shared" ref="P8:R10" si="1">O8</f>
        <v>49451.46797197737</v>
      </c>
      <c r="Q8" s="36">
        <f t="shared" si="1"/>
        <v>49451.46797197737</v>
      </c>
      <c r="R8" s="36">
        <f t="shared" si="1"/>
        <v>49451.46797197737</v>
      </c>
    </row>
    <row r="9" spans="2:18" x14ac:dyDescent="0.3">
      <c r="B9" s="35" t="s">
        <v>19</v>
      </c>
      <c r="C9" s="36">
        <f t="shared" ref="C9:C10" si="2">$N9*0.5</f>
        <v>73.484033731694325</v>
      </c>
      <c r="D9" s="36">
        <f t="shared" ref="D9:D10" si="3">$N9*0.55</f>
        <v>80.832437104863757</v>
      </c>
      <c r="E9" s="36">
        <f t="shared" ref="E9:E10" si="4">$N9*0.6</f>
        <v>88.18084047803319</v>
      </c>
      <c r="F9" s="36">
        <f t="shared" ref="F9:F10" si="5">$N9*0.65</f>
        <v>95.529243851202622</v>
      </c>
      <c r="G9" s="36">
        <f t="shared" ref="G9:G10" si="6">$N9*0.7</f>
        <v>102.87764722437205</v>
      </c>
      <c r="H9" s="36">
        <f t="shared" ref="H9:H10" si="7">$N9*0.75</f>
        <v>110.22605059754149</v>
      </c>
      <c r="I9" s="36">
        <f t="shared" ref="I9:I10" si="8">$N9*0.8</f>
        <v>117.57445397071092</v>
      </c>
      <c r="J9" s="36">
        <f t="shared" ref="J9:J10" si="9">$N9*0.85</f>
        <v>124.92285734388035</v>
      </c>
      <c r="K9" s="36">
        <f t="shared" ref="K9:K10" si="10">$N9*0.9</f>
        <v>132.27126071704978</v>
      </c>
      <c r="L9" s="36">
        <f t="shared" ref="L9:L10" si="11">$N9*0.95</f>
        <v>139.6196640902192</v>
      </c>
      <c r="M9" s="36">
        <f t="shared" ref="M9:M10" si="12">N9</f>
        <v>146.96806746338865</v>
      </c>
      <c r="N9" s="36">
        <f t="shared" ref="N9:N10" si="13">$O9/12</f>
        <v>146.96806746338865</v>
      </c>
      <c r="O9" s="36">
        <f t="shared" ref="O9:O10" si="14">$C$5*_xlfn.XLOOKUP(B9,$B$16:$B$18,$L$16:$L$18)/$L$19*12</f>
        <v>1763.6168095606638</v>
      </c>
      <c r="P9" s="36">
        <f t="shared" si="1"/>
        <v>1763.6168095606638</v>
      </c>
      <c r="Q9" s="36">
        <f t="shared" si="1"/>
        <v>1763.6168095606638</v>
      </c>
      <c r="R9" s="36">
        <f t="shared" si="1"/>
        <v>1763.6168095606638</v>
      </c>
    </row>
    <row r="10" spans="2:18" ht="14.4" thickBot="1" x14ac:dyDescent="0.35">
      <c r="B10" s="39" t="s">
        <v>20</v>
      </c>
      <c r="C10" s="40">
        <f t="shared" si="2"/>
        <v>866.03813410258215</v>
      </c>
      <c r="D10" s="40">
        <f t="shared" si="3"/>
        <v>952.64194751284049</v>
      </c>
      <c r="E10" s="40">
        <f t="shared" si="4"/>
        <v>1039.2457609230985</v>
      </c>
      <c r="F10" s="40">
        <f t="shared" si="5"/>
        <v>1125.8495743333569</v>
      </c>
      <c r="G10" s="40">
        <f t="shared" si="6"/>
        <v>1212.4533877436149</v>
      </c>
      <c r="H10" s="40">
        <f t="shared" si="7"/>
        <v>1299.0572011538732</v>
      </c>
      <c r="I10" s="40">
        <f t="shared" si="8"/>
        <v>1385.6610145641316</v>
      </c>
      <c r="J10" s="40">
        <f t="shared" si="9"/>
        <v>1472.2648279743896</v>
      </c>
      <c r="K10" s="40">
        <f t="shared" si="10"/>
        <v>1558.8686413846478</v>
      </c>
      <c r="L10" s="40">
        <f t="shared" si="11"/>
        <v>1645.4724547949061</v>
      </c>
      <c r="M10" s="40">
        <f t="shared" si="12"/>
        <v>1732.0762682051643</v>
      </c>
      <c r="N10" s="40">
        <f t="shared" si="13"/>
        <v>1732.0762682051643</v>
      </c>
      <c r="O10" s="40">
        <f t="shared" si="14"/>
        <v>20784.915218461971</v>
      </c>
      <c r="P10" s="40">
        <f t="shared" si="1"/>
        <v>20784.915218461971</v>
      </c>
      <c r="Q10" s="40">
        <f t="shared" si="1"/>
        <v>20784.915218461971</v>
      </c>
      <c r="R10" s="40">
        <f t="shared" si="1"/>
        <v>20784.915218461971</v>
      </c>
    </row>
    <row r="11" spans="2:18" ht="14.4" thickTop="1" x14ac:dyDescent="0.3">
      <c r="B11" s="37" t="s">
        <v>21</v>
      </c>
      <c r="C11" s="38">
        <f>SUM(C8:C10)</f>
        <v>3000</v>
      </c>
      <c r="D11" s="38">
        <f t="shared" ref="D11:R11" si="15">SUM(D8:D10)</f>
        <v>3300.0000000000005</v>
      </c>
      <c r="E11" s="38">
        <f t="shared" si="15"/>
        <v>3600</v>
      </c>
      <c r="F11" s="38">
        <f t="shared" si="15"/>
        <v>3900</v>
      </c>
      <c r="G11" s="38">
        <f t="shared" si="15"/>
        <v>4200</v>
      </c>
      <c r="H11" s="38">
        <f t="shared" si="15"/>
        <v>4500</v>
      </c>
      <c r="I11" s="38">
        <f t="shared" si="15"/>
        <v>4800.0000000000009</v>
      </c>
      <c r="J11" s="38">
        <f t="shared" si="15"/>
        <v>5100</v>
      </c>
      <c r="K11" s="38">
        <f t="shared" si="15"/>
        <v>5400</v>
      </c>
      <c r="L11" s="38">
        <f t="shared" si="15"/>
        <v>5700</v>
      </c>
      <c r="M11" s="38">
        <f t="shared" si="15"/>
        <v>6000</v>
      </c>
      <c r="N11" s="38">
        <f t="shared" si="15"/>
        <v>6000</v>
      </c>
      <c r="O11" s="38">
        <f t="shared" si="15"/>
        <v>72000</v>
      </c>
      <c r="P11" s="38">
        <f t="shared" si="15"/>
        <v>72000</v>
      </c>
      <c r="Q11" s="38">
        <f t="shared" si="15"/>
        <v>72000</v>
      </c>
      <c r="R11" s="38">
        <f t="shared" si="15"/>
        <v>72000</v>
      </c>
    </row>
    <row r="13" spans="2:18" x14ac:dyDescent="0.3">
      <c r="B13" s="8" t="s">
        <v>22</v>
      </c>
    </row>
    <row r="14" spans="2:18" x14ac:dyDescent="0.3">
      <c r="C14" s="12">
        <v>2022</v>
      </c>
      <c r="D14" s="12"/>
      <c r="E14" s="12"/>
      <c r="F14" s="12">
        <f>C14+1</f>
        <v>2023</v>
      </c>
      <c r="G14" s="12"/>
      <c r="H14" s="12"/>
      <c r="I14" s="12">
        <f>F14+1</f>
        <v>2024</v>
      </c>
      <c r="J14" s="12"/>
      <c r="K14" s="12"/>
      <c r="L14" s="12">
        <f>I14+1</f>
        <v>2025</v>
      </c>
      <c r="M14" s="12"/>
      <c r="N14" s="12"/>
      <c r="O14" s="12">
        <f>L14+1</f>
        <v>2026</v>
      </c>
      <c r="P14" s="12"/>
      <c r="Q14" s="12"/>
    </row>
    <row r="15" spans="2:18" x14ac:dyDescent="0.3">
      <c r="B15" s="17" t="s">
        <v>17</v>
      </c>
      <c r="C15" s="14" t="s">
        <v>23</v>
      </c>
      <c r="D15" s="14" t="s">
        <v>24</v>
      </c>
      <c r="E15" s="14" t="s">
        <v>25</v>
      </c>
      <c r="F15" s="14" t="s">
        <v>23</v>
      </c>
      <c r="G15" s="14" t="s">
        <v>24</v>
      </c>
      <c r="H15" s="14" t="s">
        <v>25</v>
      </c>
      <c r="I15" s="14" t="s">
        <v>23</v>
      </c>
      <c r="J15" s="14" t="s">
        <v>24</v>
      </c>
      <c r="K15" s="14" t="s">
        <v>25</v>
      </c>
      <c r="L15" s="14" t="s">
        <v>23</v>
      </c>
      <c r="M15" s="14" t="s">
        <v>24</v>
      </c>
      <c r="N15" s="14" t="s">
        <v>25</v>
      </c>
      <c r="O15" s="14" t="s">
        <v>23</v>
      </c>
      <c r="P15" s="14" t="s">
        <v>24</v>
      </c>
      <c r="Q15" s="14" t="s">
        <v>25</v>
      </c>
    </row>
    <row r="16" spans="2:18" x14ac:dyDescent="0.3">
      <c r="B16" s="1" t="s">
        <v>18</v>
      </c>
      <c r="C16" s="9">
        <f>SUMIFS('Claims- WO-Med Only'!$D$4:$D$54,'Claims- WO-Med Only'!$C$4:$C$54,C$14)+SUMIFS('Claims- WO-Med Only'!$M$4:$M$54,'Claims- WO-Med Only'!$C$4:$C$54,C$14)</f>
        <v>66469</v>
      </c>
      <c r="D16" s="19">
        <f>SUMIFS('Claims- WO-Med Only'!$F$4:$F$54,'Claims- WO-Med Only'!$C$4:$C$54,C$14)+SUMIFS('Claims- WO-Med Only'!$O$4:$O$54,'Claims- WO-Med Only'!$C$4:$C$54,C$14)</f>
        <v>130730337.59</v>
      </c>
      <c r="E16" s="18">
        <f>D16/C16</f>
        <v>1966.7865860777206</v>
      </c>
      <c r="F16" s="9">
        <f>SUMIFS('Claims- WO-Med Only'!$D$4:$D$54,'Claims- WO-Med Only'!$C$4:$C$54,F$14)+SUMIFS('Claims- WO-Med Only'!$M$4:$M$54,'Claims- WO-Med Only'!$C$4:$C$54,F$14)</f>
        <v>67335</v>
      </c>
      <c r="G16" s="19">
        <f>SUMIFS('Claims- WO-Med Only'!$F$4:$F$54,'Claims- WO-Med Only'!$C$4:$C$54,F$14)+SUMIFS('Claims- WO-Med Only'!$O$4:$O$54,'Claims- WO-Med Only'!$C$4:$C$54,F$14)</f>
        <v>133509216.85000002</v>
      </c>
      <c r="H16" s="18">
        <f t="shared" ref="H16:H18" si="16">G16/F16</f>
        <v>1982.761072993243</v>
      </c>
      <c r="I16" s="9">
        <f>SUMIFS('Claims- WO-Med Only'!$D$4:$D$54,'Claims- WO-Med Only'!$C$4:$C$54,I$14)+SUMIFS('Claims- WO-Med Only'!$M$4:$M$54,'Claims- WO-Med Only'!$C$4:$C$54,I$14)</f>
        <v>68126</v>
      </c>
      <c r="J16" s="19">
        <f>SUMIFS('Claims- WO-Med Only'!$F$4:$F$54,'Claims- WO-Med Only'!$C$4:$C$54,I$14)+SUMIFS('Claims- WO-Med Only'!$O$4:$O$54,'Claims- WO-Med Only'!$C$4:$C$54,I$14)</f>
        <v>136006713.69999999</v>
      </c>
      <c r="K16" s="18">
        <f t="shared" ref="K16:K18" si="17">J16/I16</f>
        <v>1996.3995200070456</v>
      </c>
      <c r="L16" s="9">
        <f>SUMIFS('Claims- WO-Med Only'!$D$4:$D$54,'Claims- WO-Med Only'!$C$4:$C$54,L$14)+SUMIFS('Claims- WO-Med Only'!$M$4:$M$54,'Claims- WO-Med Only'!$C$4:$C$54,L$14)</f>
        <v>68333</v>
      </c>
      <c r="M16" s="19">
        <f>SUMIFS('Claims- WO-Med Only'!$F$4:$F$54,'Claims- WO-Med Only'!$C$4:$C$54,L$14)+SUMIFS('Claims- WO-Med Only'!$O$4:$O$54,'Claims- WO-Med Only'!$C$4:$C$54,L$14)</f>
        <v>137446506.03</v>
      </c>
      <c r="N16" s="18">
        <f t="shared" ref="N16:N18" si="18">M16/L16</f>
        <v>2011.4220951809521</v>
      </c>
      <c r="O16" s="9">
        <f>SUMIFS('Claims- WO-Med Only'!$D$4:$D$54,'Claims- WO-Med Only'!$C$4:$C$54,O$14)+SUMIFS('Claims- WO-Med Only'!$M$4:$M$54,'Claims- WO-Med Only'!$C$4:$C$54,O$14)</f>
        <v>16583</v>
      </c>
      <c r="P16" s="19">
        <f>SUMIFS('Claims- WO-Med Only'!$F$4:$F$54,'Claims- WO-Med Only'!$C$4:$C$54,O$14)+SUMIFS('Claims- WO-Med Only'!$O$4:$O$54,'Claims- WO-Med Only'!$C$4:$C$54,O$14)</f>
        <v>33250941.23</v>
      </c>
      <c r="Q16" s="18">
        <f t="shared" ref="Q16:Q18" si="19">P16/O16</f>
        <v>2005.1221871796417</v>
      </c>
    </row>
    <row r="17" spans="2:22" x14ac:dyDescent="0.3">
      <c r="B17" s="1" t="s">
        <v>19</v>
      </c>
      <c r="C17" s="9">
        <f>SUMIFS('Claims- WO-Med Only'!$J$4:$J$54,'Claims- WO-Med Only'!$C$4:$C$54,C$14)</f>
        <v>1677</v>
      </c>
      <c r="D17" s="19">
        <f>SUMIFS('Claims- WO-Med Only'!$L$4:$L$54,'Claims- WO-Med Only'!$C$4:$C$54,C$14)</f>
        <v>3050045.45</v>
      </c>
      <c r="E17" s="18">
        <f t="shared" ref="E17:E19" si="20">D17/C17</f>
        <v>1818.7510137149673</v>
      </c>
      <c r="F17" s="9">
        <f>SUMIFS('Claims- WO-Med Only'!$J$4:$J$54,'Claims- WO-Med Only'!$C$4:$C$54,F$14)</f>
        <v>1730</v>
      </c>
      <c r="G17" s="19">
        <f>SUMIFS('Claims- WO-Med Only'!$L$4:$L$54,'Claims- WO-Med Only'!$C$4:$C$54,F$14)</f>
        <v>3211335.37</v>
      </c>
      <c r="H17" s="18">
        <f t="shared" si="16"/>
        <v>1856.2632196531792</v>
      </c>
      <c r="I17" s="9">
        <f>SUMIFS('Claims- WO-Med Only'!$J$4:$J$54,'Claims- WO-Med Only'!$C$4:$C$54,I$14)</f>
        <v>2060</v>
      </c>
      <c r="J17" s="19">
        <f>SUMIFS('Claims- WO-Med Only'!$L$4:$L$54,'Claims- WO-Med Only'!$C$4:$C$54,I$14)</f>
        <v>3574077.4200000004</v>
      </c>
      <c r="K17" s="18">
        <f t="shared" si="17"/>
        <v>1734.9890388349515</v>
      </c>
      <c r="L17" s="9">
        <f>SUMIFS('Claims- WO-Med Only'!$J$4:$J$54,'Claims- WO-Med Only'!$C$4:$C$54,L$14)</f>
        <v>2437</v>
      </c>
      <c r="M17" s="19">
        <f>SUMIFS('Claims- WO-Med Only'!$L$4:$L$54,'Claims- WO-Med Only'!$C$4:$C$54,L$14)</f>
        <v>4525692.629999999</v>
      </c>
      <c r="N17" s="18">
        <f t="shared" si="18"/>
        <v>1857.0753508411979</v>
      </c>
      <c r="O17" s="9">
        <f>SUMIFS('Claims- WO-Med Only'!$J$4:$J$54,'Claims- WO-Med Only'!$C$4:$C$54,O$14)</f>
        <v>557</v>
      </c>
      <c r="P17" s="19">
        <f>SUMIFS('Claims- WO-Med Only'!$L$4:$L$54,'Claims- WO-Med Only'!$C$4:$C$54,O$14)</f>
        <v>1027252.0900000001</v>
      </c>
      <c r="Q17" s="18">
        <f t="shared" si="19"/>
        <v>1844.2586894075405</v>
      </c>
    </row>
    <row r="18" spans="2:22" ht="14.4" thickBot="1" x14ac:dyDescent="0.35">
      <c r="B18" s="24" t="s">
        <v>20</v>
      </c>
      <c r="C18" s="25">
        <f>SUMIFS('Claims- WO-Med Only'!$G$4:$G$54,'Claims- WO-Med Only'!$C$4:$C$54,C$14)</f>
        <v>25974</v>
      </c>
      <c r="D18" s="26">
        <f>SUMIFS('Claims- WO-Med Only'!$I$4:$I$54,'Claims- WO-Med Only'!$C$4:$C$54,C$14)</f>
        <v>71291191.549999997</v>
      </c>
      <c r="E18" s="27">
        <f t="shared" si="20"/>
        <v>2744.7136193886195</v>
      </c>
      <c r="F18" s="25">
        <f>SUMIFS('Claims- WO-Med Only'!$G$4:$G$54,'Claims- WO-Med Only'!$C$4:$C$54,F$14)</f>
        <v>28330</v>
      </c>
      <c r="G18" s="26">
        <f>SUMIFS('Claims- WO-Med Only'!$I$4:$I$54,'Claims- WO-Med Only'!$C$4:$C$54,F$14)</f>
        <v>77838493.460000008</v>
      </c>
      <c r="H18" s="27">
        <f t="shared" si="16"/>
        <v>2747.5641884927641</v>
      </c>
      <c r="I18" s="25">
        <f>SUMIFS('Claims- WO-Med Only'!$G$4:$G$54,'Claims- WO-Med Only'!$C$4:$C$54,I$14)</f>
        <v>28448</v>
      </c>
      <c r="J18" s="26">
        <f>SUMIFS('Claims- WO-Med Only'!$I$4:$I$54,'Claims- WO-Med Only'!$C$4:$C$54,I$14)</f>
        <v>77506417.239999995</v>
      </c>
      <c r="K18" s="27">
        <f t="shared" si="17"/>
        <v>2724.4944192913385</v>
      </c>
      <c r="L18" s="25">
        <f>SUMIFS('Claims- WO-Med Only'!$G$4:$G$54,'Claims- WO-Med Only'!$C$4:$C$54,L$14)</f>
        <v>28721</v>
      </c>
      <c r="M18" s="26">
        <f>SUMIFS('Claims- WO-Med Only'!$I$4:$I$54,'Claims- WO-Med Only'!$C$4:$C$54,L$14)</f>
        <v>78351899.179999992</v>
      </c>
      <c r="N18" s="27">
        <f t="shared" si="18"/>
        <v>2728.0352069913997</v>
      </c>
      <c r="O18" s="25">
        <f>SUMIFS('Claims- WO-Med Only'!$G$4:$G$54,'Claims- WO-Med Only'!$C$4:$C$54,O$14)</f>
        <v>7019</v>
      </c>
      <c r="P18" s="26">
        <f>SUMIFS('Claims- WO-Med Only'!$I$4:$I$54,'Claims- WO-Med Only'!$C$4:$C$54,O$14)</f>
        <v>19156034.039999999</v>
      </c>
      <c r="Q18" s="27">
        <f t="shared" si="19"/>
        <v>2729.1685482262428</v>
      </c>
    </row>
    <row r="19" spans="2:22" ht="14.4" thickTop="1" x14ac:dyDescent="0.3">
      <c r="B19" s="20" t="s">
        <v>21</v>
      </c>
      <c r="C19" s="21">
        <f>SUM(C16:C18)</f>
        <v>94120</v>
      </c>
      <c r="D19" s="22">
        <f>SUM(D16:D18)</f>
        <v>205071574.59</v>
      </c>
      <c r="E19" s="23">
        <f t="shared" si="20"/>
        <v>2178.831009243519</v>
      </c>
      <c r="F19" s="21">
        <f t="shared" ref="F19:G19" si="21">SUM(F16:F18)</f>
        <v>97395</v>
      </c>
      <c r="G19" s="22">
        <f t="shared" si="21"/>
        <v>214559045.68000004</v>
      </c>
      <c r="H19" s="23">
        <f t="shared" ref="H19" si="22">G19/F19</f>
        <v>2202.9780346013658</v>
      </c>
      <c r="I19" s="21">
        <f t="shared" ref="I19:J19" si="23">SUM(I16:I18)</f>
        <v>98634</v>
      </c>
      <c r="J19" s="22">
        <f t="shared" si="23"/>
        <v>217087208.35999995</v>
      </c>
      <c r="K19" s="23">
        <f t="shared" ref="K19" si="24">J19/I19</f>
        <v>2200.9368813999226</v>
      </c>
      <c r="L19" s="21">
        <f t="shared" ref="L19:M19" si="25">SUM(L16:L18)</f>
        <v>99491</v>
      </c>
      <c r="M19" s="22">
        <f t="shared" si="25"/>
        <v>220324097.83999997</v>
      </c>
      <c r="N19" s="23">
        <f t="shared" ref="N19" si="26">M19/L19</f>
        <v>2214.5128488003938</v>
      </c>
      <c r="O19" s="21">
        <f t="shared" ref="O19:P19" si="27">SUM(O16:O18)</f>
        <v>24159</v>
      </c>
      <c r="P19" s="22">
        <f t="shared" si="27"/>
        <v>53434227.359999999</v>
      </c>
      <c r="Q19" s="23">
        <f t="shared" ref="Q19" si="28">P19/O19</f>
        <v>2211.7731429281012</v>
      </c>
    </row>
    <row r="20" spans="2:22" x14ac:dyDescent="0.3">
      <c r="B20" s="20" t="s">
        <v>26</v>
      </c>
      <c r="C20" s="21">
        <f>SUMIFS('Claims- WO-Med Only'!$Q$4:$Q$54,'Claims- WO-Med Only'!$C$4:$C$54,Projection!C$14)</f>
        <v>120081</v>
      </c>
      <c r="D20" s="28"/>
      <c r="E20" s="29"/>
      <c r="F20" s="21">
        <f>SUMIFS('Claims- WO-Med Only'!$Q$4:$Q$54,'Claims- WO-Med Only'!$C$4:$C$54,Projection!F$14)</f>
        <v>118400</v>
      </c>
      <c r="G20" s="28"/>
      <c r="H20" s="29"/>
      <c r="I20" s="21">
        <f>SUMIFS('Claims- WO-Med Only'!$Q$4:$Q$54,'Claims- WO-Med Only'!$C$4:$C$54,Projection!I$14)</f>
        <v>116157</v>
      </c>
      <c r="J20" s="28"/>
      <c r="K20" s="29"/>
      <c r="L20" s="21">
        <f>SUMIFS('Claims- WO-Med Only'!$Q$4:$Q$54,'Claims- WO-Med Only'!$C$4:$C$54,Projection!L$14)</f>
        <v>115651</v>
      </c>
      <c r="M20" s="28"/>
      <c r="N20" s="29"/>
      <c r="O20" s="21">
        <f>SUMIFS('Claims- WO-Med Only'!$Q$4:$Q$54,'Claims- WO-Med Only'!$C$4:$C$54,Projection!O$14)</f>
        <v>28490</v>
      </c>
      <c r="P20" s="28"/>
      <c r="Q20" s="29"/>
    </row>
    <row r="21" spans="2:22" x14ac:dyDescent="0.3">
      <c r="B21" s="20" t="s">
        <v>27</v>
      </c>
      <c r="C21" s="30">
        <f>C19/C20</f>
        <v>0.78380426545415183</v>
      </c>
      <c r="D21" s="28"/>
      <c r="E21" s="29"/>
      <c r="F21" s="30">
        <f t="shared" ref="F21" si="29">F19/F20</f>
        <v>0.82259290540540542</v>
      </c>
      <c r="G21" s="28"/>
      <c r="H21" s="29"/>
      <c r="I21" s="30">
        <f t="shared" ref="I21" si="30">I19/I20</f>
        <v>0.8491438311939874</v>
      </c>
      <c r="J21" s="28"/>
      <c r="K21" s="29"/>
      <c r="L21" s="30">
        <f t="shared" ref="L21" si="31">L19/L20</f>
        <v>0.8602692583721715</v>
      </c>
      <c r="M21" s="28"/>
      <c r="N21" s="29"/>
      <c r="O21" s="30">
        <f t="shared" ref="O21" si="32">O19/O20</f>
        <v>0.84798174798174797</v>
      </c>
      <c r="P21" s="28"/>
      <c r="Q21" s="29"/>
    </row>
    <row r="22" spans="2:22" ht="27.6" x14ac:dyDescent="0.3">
      <c r="B22" s="41" t="s">
        <v>28</v>
      </c>
      <c r="C22" s="29"/>
      <c r="D22" s="43">
        <f>SUMPRODUCT(E16:E18,$L$16:$L$18)/$L$19</f>
        <v>2187.7319945455647</v>
      </c>
      <c r="E22" s="29"/>
      <c r="F22" s="29"/>
      <c r="G22" s="43">
        <f>SUMPRODUCT(H16:H18,$L$16:$L$18)/$L$19</f>
        <v>2200.445436520316</v>
      </c>
      <c r="H22" s="42">
        <f>G22/D22-1</f>
        <v>5.8112428791317061E-3</v>
      </c>
      <c r="I22" s="29"/>
      <c r="J22" s="43">
        <f>SUMPRODUCT(K16:K18,$L$16:$L$18)/$L$19</f>
        <v>2200.182337143548</v>
      </c>
      <c r="K22" s="42">
        <f>J22/G22-1</f>
        <v>-1.1956641705423987E-4</v>
      </c>
      <c r="L22" s="29"/>
      <c r="M22" s="43">
        <f>SUMPRODUCT(N16:N18,$L$16:$L$18)/$L$19</f>
        <v>2214.5128488003938</v>
      </c>
      <c r="N22" s="42">
        <f>M22/J22-1</f>
        <v>6.513329106828003E-3</v>
      </c>
      <c r="O22" s="29"/>
      <c r="P22" s="43">
        <f>SUMPRODUCT(Q16:Q18,$L$16:$L$18)/$L$19</f>
        <v>2210.1991407890014</v>
      </c>
      <c r="Q22" s="42">
        <f>P22/M22-1</f>
        <v>-1.9479263864868868E-3</v>
      </c>
    </row>
    <row r="24" spans="2:22" x14ac:dyDescent="0.3">
      <c r="B24" s="5" t="s">
        <v>29</v>
      </c>
    </row>
    <row r="25" spans="2:22" x14ac:dyDescent="0.3">
      <c r="B25" s="5" t="s">
        <v>30</v>
      </c>
    </row>
    <row r="26" spans="2:22" x14ac:dyDescent="0.3">
      <c r="B26" s="59" t="s">
        <v>17</v>
      </c>
      <c r="C26" s="14" t="s">
        <v>31</v>
      </c>
    </row>
    <row r="27" spans="2:22" x14ac:dyDescent="0.3">
      <c r="B27" s="1" t="s">
        <v>18</v>
      </c>
      <c r="C27" s="10">
        <f>'Patient Liab Calc'!$C$28</f>
        <v>0.82069396431513342</v>
      </c>
    </row>
    <row r="28" spans="2:22" x14ac:dyDescent="0.3">
      <c r="B28" s="1" t="s">
        <v>19</v>
      </c>
      <c r="C28" s="10">
        <f>'Patient Liab Calc'!$C$28</f>
        <v>0.82069396431513342</v>
      </c>
    </row>
    <row r="29" spans="2:22" x14ac:dyDescent="0.3">
      <c r="B29" s="1" t="s">
        <v>20</v>
      </c>
      <c r="C29" s="10">
        <f>'Patient Liab Calc'!D28</f>
        <v>0.89163464621730815</v>
      </c>
    </row>
    <row r="31" spans="2:22" x14ac:dyDescent="0.3">
      <c r="B31" s="5" t="s">
        <v>32</v>
      </c>
      <c r="C31" s="44">
        <f>N22</f>
        <v>6.513329106828003E-3</v>
      </c>
    </row>
    <row r="32" spans="2:22" x14ac:dyDescent="0.3">
      <c r="C32" s="12" t="s">
        <v>12</v>
      </c>
      <c r="D32" s="12"/>
      <c r="E32" s="12"/>
      <c r="F32" s="12"/>
      <c r="G32" s="12" t="s">
        <v>13</v>
      </c>
      <c r="H32" s="12"/>
      <c r="I32" s="12"/>
      <c r="J32" s="12"/>
      <c r="K32" s="12" t="s">
        <v>14</v>
      </c>
      <c r="L32" s="12"/>
      <c r="M32" s="12"/>
      <c r="N32" s="12"/>
      <c r="O32" s="12" t="s">
        <v>15</v>
      </c>
      <c r="P32" s="12"/>
      <c r="Q32" s="12"/>
      <c r="R32" s="12"/>
      <c r="S32" s="12" t="s">
        <v>16</v>
      </c>
      <c r="T32" s="12"/>
      <c r="U32" s="12"/>
      <c r="V32" s="12"/>
    </row>
    <row r="33" spans="2:22" ht="41.4" x14ac:dyDescent="0.3">
      <c r="B33" s="17" t="s">
        <v>17</v>
      </c>
      <c r="C33" s="14" t="s">
        <v>33</v>
      </c>
      <c r="D33" s="14" t="s">
        <v>34</v>
      </c>
      <c r="E33" s="14" t="s">
        <v>25</v>
      </c>
      <c r="F33" s="14" t="s">
        <v>35</v>
      </c>
      <c r="G33" s="14" t="s">
        <v>33</v>
      </c>
      <c r="H33" s="14" t="s">
        <v>34</v>
      </c>
      <c r="I33" s="14" t="s">
        <v>25</v>
      </c>
      <c r="J33" s="14" t="s">
        <v>35</v>
      </c>
      <c r="K33" s="14" t="s">
        <v>33</v>
      </c>
      <c r="L33" s="14" t="s">
        <v>34</v>
      </c>
      <c r="M33" s="14" t="s">
        <v>25</v>
      </c>
      <c r="N33" s="14" t="s">
        <v>35</v>
      </c>
      <c r="O33" s="14" t="s">
        <v>33</v>
      </c>
      <c r="P33" s="14" t="s">
        <v>34</v>
      </c>
      <c r="Q33" s="14" t="s">
        <v>25</v>
      </c>
      <c r="R33" s="14" t="s">
        <v>35</v>
      </c>
      <c r="S33" s="14" t="s">
        <v>33</v>
      </c>
      <c r="T33" s="14" t="s">
        <v>34</v>
      </c>
      <c r="U33" s="14" t="s">
        <v>25</v>
      </c>
      <c r="V33" s="14" t="s">
        <v>35</v>
      </c>
    </row>
    <row r="34" spans="2:22" x14ac:dyDescent="0.3">
      <c r="B34" s="1" t="s">
        <v>18</v>
      </c>
      <c r="C34" s="9">
        <f>SUM(C8:N8)</f>
        <v>38118.839895065888</v>
      </c>
      <c r="D34" s="9">
        <f>C34</f>
        <v>38118.839895065888</v>
      </c>
      <c r="E34" s="18">
        <f>$N16*(1+$C$31)^2*$C27</f>
        <v>1672.3359162501761</v>
      </c>
      <c r="F34" s="19">
        <f>E34*D34</f>
        <v>63747505.042308778</v>
      </c>
      <c r="G34" s="9">
        <f>INDEX($O$8:$R$10,MATCH($B34,$B$8:$B$10,0),MATCH(G$32,$O$6:$R$6,0))</f>
        <v>49451.46797197737</v>
      </c>
      <c r="H34" s="9">
        <f>G34</f>
        <v>49451.46797197737</v>
      </c>
      <c r="I34" s="18">
        <f>E34*(1+$C$31)</f>
        <v>1683.2283904498822</v>
      </c>
      <c r="J34" s="19">
        <f>I34*H34</f>
        <v>83238114.839855373</v>
      </c>
      <c r="K34" s="9">
        <f>INDEX($O$8:$R$10,MATCH($B34,$B$8:$B$10,0),MATCH(K$32,$O$6:$R$6,0))</f>
        <v>49451.46797197737</v>
      </c>
      <c r="L34" s="9">
        <f t="shared" ref="L34:L36" si="33">K34</f>
        <v>49451.46797197737</v>
      </c>
      <c r="M34" s="18">
        <f t="shared" ref="M34:M36" si="34">I34*(1+$C$31)</f>
        <v>1694.1918109188387</v>
      </c>
      <c r="N34" s="19">
        <f t="shared" ref="N34:N36" si="35">M34*L34</f>
        <v>83780272.076039284</v>
      </c>
      <c r="O34" s="9">
        <f t="shared" ref="O34" si="36">INDEX($O$8:$R$10,MATCH($B34,$B$8:$B$10,0),MATCH(O$32,$O$6:$R$6,0))</f>
        <v>49451.46797197737</v>
      </c>
      <c r="P34" s="9">
        <f t="shared" ref="P34:P36" si="37">O34</f>
        <v>49451.46797197737</v>
      </c>
      <c r="Q34" s="18">
        <f t="shared" ref="Q34:Q36" si="38">M34*(1+$C$31)</f>
        <v>1705.2266397534461</v>
      </c>
      <c r="R34" s="19">
        <f t="shared" ref="R34:R36" si="39">Q34*P34</f>
        <v>84325960.560730129</v>
      </c>
      <c r="S34" s="9">
        <f t="shared" ref="S34" si="40">INDEX($O$8:$R$10,MATCH($B34,$B$8:$B$10,0),MATCH(S$32,$O$6:$R$6,0))</f>
        <v>49451.46797197737</v>
      </c>
      <c r="T34" s="9">
        <f t="shared" ref="T34:T36" si="41">S34</f>
        <v>49451.46797197737</v>
      </c>
      <c r="U34" s="18">
        <f t="shared" ref="U34:U36" si="42">Q34*(1+$C$31)</f>
        <v>1716.3333420598908</v>
      </c>
      <c r="V34" s="19">
        <f t="shared" ref="V34:V36" si="43">U34*T34</f>
        <v>84875203.294111565</v>
      </c>
    </row>
    <row r="35" spans="2:22" x14ac:dyDescent="0.3">
      <c r="B35" s="1" t="s">
        <v>19</v>
      </c>
      <c r="C35" s="9">
        <f>SUM(C9:N9)</f>
        <v>1359.4546240363452</v>
      </c>
      <c r="D35" s="9">
        <f t="shared" ref="D35:D36" si="44">C35</f>
        <v>1359.4546240363452</v>
      </c>
      <c r="E35" s="18">
        <f t="shared" ref="E35:E36" si="45">$N17*(1+$C$31)^2*$C28</f>
        <v>1544.0089953447789</v>
      </c>
      <c r="F35" s="19">
        <f t="shared" ref="F35:F36" si="46">E35*D35</f>
        <v>2099010.1682751714</v>
      </c>
      <c r="G35" s="9">
        <f>INDEX($O$8:$R$10,MATCH($B35,$B$8:$B$10,0),MATCH(G$32,$O$6:$R$6,0))</f>
        <v>1763.6168095606638</v>
      </c>
      <c r="H35" s="9">
        <f t="shared" ref="H35:H36" si="47">G35</f>
        <v>1763.6168095606638</v>
      </c>
      <c r="I35" s="18">
        <f t="shared" ref="I35:I36" si="48">E35*(1+$C$31)</f>
        <v>1554.0656340753624</v>
      </c>
      <c r="J35" s="19">
        <f t="shared" ref="J35:J36" si="49">I35*H35</f>
        <v>2740776.2754158606</v>
      </c>
      <c r="K35" s="9">
        <f>INDEX($O$8:$R$10,MATCH($B35,$B$8:$B$10,0),MATCH(K$32,$O$6:$R$6,0))</f>
        <v>1763.6168095606638</v>
      </c>
      <c r="L35" s="9">
        <f t="shared" si="33"/>
        <v>1763.6168095606638</v>
      </c>
      <c r="M35" s="18">
        <f t="shared" si="34"/>
        <v>1564.1877750037065</v>
      </c>
      <c r="N35" s="19">
        <f t="shared" si="35"/>
        <v>2758627.8533058302</v>
      </c>
      <c r="O35" s="9">
        <f>INDEX($O$8:$R$10,MATCH($B35,$B$8:$B$10,0),MATCH(O$32,$O$6:$R$6,0))</f>
        <v>1763.6168095606638</v>
      </c>
      <c r="P35" s="9">
        <f t="shared" si="37"/>
        <v>1763.6168095606638</v>
      </c>
      <c r="Q35" s="18">
        <f t="shared" si="38"/>
        <v>1574.3758447671828</v>
      </c>
      <c r="R35" s="19">
        <f t="shared" si="39"/>
        <v>2776595.7043976737</v>
      </c>
      <c r="S35" s="9">
        <f>INDEX($O$8:$R$10,MATCH($B35,$B$8:$B$10,0),MATCH(S$32,$O$6:$R$6,0))</f>
        <v>1763.6168095606638</v>
      </c>
      <c r="T35" s="9">
        <f t="shared" si="41"/>
        <v>1763.6168095606638</v>
      </c>
      <c r="U35" s="18">
        <f t="shared" si="42"/>
        <v>1584.6302727819918</v>
      </c>
      <c r="V35" s="19">
        <f t="shared" si="43"/>
        <v>2794680.586017021</v>
      </c>
    </row>
    <row r="36" spans="2:22" ht="14.4" thickBot="1" x14ac:dyDescent="0.35">
      <c r="B36" s="24" t="s">
        <v>20</v>
      </c>
      <c r="C36" s="25">
        <f>SUM(C10:N10)</f>
        <v>16021.705480897772</v>
      </c>
      <c r="D36" s="25">
        <f t="shared" si="44"/>
        <v>16021.705480897772</v>
      </c>
      <c r="E36" s="27">
        <f t="shared" si="45"/>
        <v>2464.2000808336775</v>
      </c>
      <c r="F36" s="26">
        <f t="shared" si="46"/>
        <v>39480687.94112166</v>
      </c>
      <c r="G36" s="25">
        <f>INDEX($O$8:$R$10,MATCH($B36,$B$8:$B$10,0),MATCH(G$32,$O$6:$R$6,0))</f>
        <v>20784.915218461971</v>
      </c>
      <c r="H36" s="25">
        <f t="shared" si="47"/>
        <v>20784.915218461971</v>
      </c>
      <c r="I36" s="27">
        <f t="shared" si="48"/>
        <v>2480.2502269452193</v>
      </c>
      <c r="J36" s="26">
        <f t="shared" si="49"/>
        <v>51551790.687627442</v>
      </c>
      <c r="K36" s="25">
        <f>INDEX($O$8:$R$10,MATCH($B36,$B$8:$B$10,0),MATCH(K$32,$O$6:$R$6,0))</f>
        <v>20784.915218461971</v>
      </c>
      <c r="L36" s="25">
        <f t="shared" si="33"/>
        <v>20784.915218461971</v>
      </c>
      <c r="M36" s="27">
        <f t="shared" si="34"/>
        <v>2496.4049129405985</v>
      </c>
      <c r="N36" s="26">
        <f t="shared" si="35"/>
        <v>51887564.466422275</v>
      </c>
      <c r="O36" s="25">
        <f>INDEX($O$8:$R$10,MATCH($B36,$B$8:$B$10,0),MATCH(O$32,$O$6:$R$6,0))</f>
        <v>20784.915218461971</v>
      </c>
      <c r="P36" s="25">
        <f t="shared" si="37"/>
        <v>20784.915218461971</v>
      </c>
      <c r="Q36" s="27">
        <f t="shared" si="38"/>
        <v>2512.6648197224831</v>
      </c>
      <c r="R36" s="26">
        <f t="shared" si="39"/>
        <v>52225525.250343844</v>
      </c>
      <c r="S36" s="25">
        <f>INDEX($O$8:$R$10,MATCH($B36,$B$8:$B$10,0),MATCH(S$32,$O$6:$R$6,0))</f>
        <v>20784.915218461971</v>
      </c>
      <c r="T36" s="25">
        <f t="shared" si="41"/>
        <v>20784.915218461971</v>
      </c>
      <c r="U36" s="27">
        <f t="shared" si="42"/>
        <v>2529.0306326284845</v>
      </c>
      <c r="V36" s="26">
        <f t="shared" si="43"/>
        <v>52565687.284076288</v>
      </c>
    </row>
    <row r="37" spans="2:22" ht="14.4" thickTop="1" x14ac:dyDescent="0.3">
      <c r="B37" s="20" t="s">
        <v>21</v>
      </c>
      <c r="C37" s="21">
        <f>SUM(C34:C36)</f>
        <v>55500</v>
      </c>
      <c r="D37" s="21">
        <f>SUM(D34:D36)</f>
        <v>55500</v>
      </c>
      <c r="E37" s="23">
        <f>SUMPRODUCT(E34:E36,C34:C36)/C37</f>
        <v>1897.7874441748759</v>
      </c>
      <c r="F37" s="22">
        <f>SUM(F34:F36)</f>
        <v>105327203.15170561</v>
      </c>
      <c r="G37" s="21">
        <f>SUM(G34:G36)</f>
        <v>72000</v>
      </c>
      <c r="H37" s="21">
        <f>SUM(H34:H36)</f>
        <v>72000</v>
      </c>
      <c r="I37" s="23">
        <f>SUMPRODUCT(I34:I36,G34:G36)/G37</f>
        <v>1910.1483583735926</v>
      </c>
      <c r="J37" s="22">
        <f>SUM(J34:J36)</f>
        <v>137530681.80289868</v>
      </c>
      <c r="K37" s="21">
        <f t="shared" ref="K37:L37" si="50">SUM(K34:K36)</f>
        <v>72000</v>
      </c>
      <c r="L37" s="21">
        <f t="shared" si="50"/>
        <v>72000</v>
      </c>
      <c r="M37" s="23">
        <f t="shared" ref="M37" si="51">SUMPRODUCT(M34:M36,K34:K36)/K37</f>
        <v>1922.589783274547</v>
      </c>
      <c r="N37" s="22">
        <f t="shared" ref="N37:P37" si="52">SUM(N34:N36)</f>
        <v>138426464.39576739</v>
      </c>
      <c r="O37" s="21">
        <f t="shared" si="52"/>
        <v>72000</v>
      </c>
      <c r="P37" s="21">
        <f t="shared" si="52"/>
        <v>72000</v>
      </c>
      <c r="Q37" s="23">
        <f t="shared" ref="Q37" si="53">SUMPRODUCT(Q34:Q36,O34:O36)/O37</f>
        <v>1935.1122432704394</v>
      </c>
      <c r="R37" s="22">
        <f t="shared" ref="R37:T37" si="54">SUM(R34:R36)</f>
        <v>139328081.51547164</v>
      </c>
      <c r="S37" s="21">
        <f t="shared" si="54"/>
        <v>72000</v>
      </c>
      <c r="T37" s="21">
        <f t="shared" si="54"/>
        <v>72000</v>
      </c>
      <c r="U37" s="23">
        <f t="shared" ref="U37" si="55">SUMPRODUCT(U34:U36,S34:S36)/S37</f>
        <v>1947.7162661695124</v>
      </c>
      <c r="V37" s="22">
        <f t="shared" ref="V37" si="56">SUM(V34:V36)</f>
        <v>140235571.1642049</v>
      </c>
    </row>
    <row r="39" spans="2:22" x14ac:dyDescent="0.3">
      <c r="B39" s="5" t="s">
        <v>3</v>
      </c>
    </row>
    <row r="41" spans="2:22" x14ac:dyDescent="0.3">
      <c r="C41" s="12" t="s">
        <v>12</v>
      </c>
      <c r="D41" s="12"/>
      <c r="E41" s="12"/>
      <c r="F41" s="12" t="s">
        <v>13</v>
      </c>
      <c r="G41" s="12"/>
      <c r="H41" s="12"/>
      <c r="I41" s="12" t="s">
        <v>14</v>
      </c>
      <c r="J41" s="12"/>
      <c r="K41" s="12"/>
      <c r="L41" s="12" t="s">
        <v>15</v>
      </c>
      <c r="M41" s="12"/>
      <c r="N41" s="12"/>
      <c r="O41" s="12" t="s">
        <v>16</v>
      </c>
      <c r="P41" s="12"/>
      <c r="Q41" s="12"/>
    </row>
    <row r="42" spans="2:22" ht="27.6" x14ac:dyDescent="0.3">
      <c r="B42" s="17" t="s">
        <v>17</v>
      </c>
      <c r="C42" s="14" t="s">
        <v>35</v>
      </c>
      <c r="D42" s="14" t="s">
        <v>36</v>
      </c>
      <c r="E42" s="14" t="s">
        <v>37</v>
      </c>
      <c r="F42" s="14" t="s">
        <v>35</v>
      </c>
      <c r="G42" s="14" t="s">
        <v>36</v>
      </c>
      <c r="H42" s="14" t="s">
        <v>37</v>
      </c>
      <c r="I42" s="14" t="s">
        <v>35</v>
      </c>
      <c r="J42" s="14" t="s">
        <v>36</v>
      </c>
      <c r="K42" s="14" t="s">
        <v>37</v>
      </c>
      <c r="L42" s="14" t="s">
        <v>35</v>
      </c>
      <c r="M42" s="14" t="s">
        <v>36</v>
      </c>
      <c r="N42" s="14" t="s">
        <v>37</v>
      </c>
      <c r="O42" s="14" t="s">
        <v>35</v>
      </c>
      <c r="P42" s="14" t="s">
        <v>36</v>
      </c>
      <c r="Q42" s="14" t="s">
        <v>37</v>
      </c>
    </row>
    <row r="43" spans="2:22" x14ac:dyDescent="0.3">
      <c r="B43" s="1" t="s">
        <v>18</v>
      </c>
      <c r="C43" s="19" cm="1">
        <f t="array" ref="C43">INDEX($C$34:$V$36,MATCH($B43,$B$34:$B$36,0),MATCH(C$42,$C$33:$V$33,0)+MATCH(C$41,$C$32:$V$32,0)-1)</f>
        <v>63747505.042308778</v>
      </c>
      <c r="D43" s="32">
        <v>0.64159999999999995</v>
      </c>
      <c r="E43" s="19">
        <f>C43*D43</f>
        <v>40900399.235145308</v>
      </c>
      <c r="F43" s="19" cm="1">
        <f t="array" ref="F43">INDEX($C$34:$V$36,MATCH($B43,$B$34:$B$36,0),MATCH(F$42,$C$33:$V$33,0)+MATCH(F$41,$C$32:$V$32,0)-1)</f>
        <v>83238114.839855373</v>
      </c>
      <c r="G43" s="32">
        <v>0.64159999999999995</v>
      </c>
      <c r="H43" s="19">
        <f>F43*G43</f>
        <v>53405574.481251203</v>
      </c>
      <c r="I43" s="19" cm="1">
        <f t="array" ref="I43">INDEX($C$34:$V$36,MATCH($B43,$B$34:$B$36,0),MATCH(I$42,$C$33:$V$33,0)+MATCH(I$41,$C$32:$V$32,0)-1)</f>
        <v>83780272.076039284</v>
      </c>
      <c r="J43" s="32">
        <v>0.64159999999999995</v>
      </c>
      <c r="K43" s="19">
        <f>I43*J43</f>
        <v>53753422.563986801</v>
      </c>
      <c r="L43" s="19" cm="1">
        <f t="array" ref="L43">INDEX($C$34:$V$36,MATCH($B43,$B$34:$B$36,0),MATCH(L$42,$C$33:$V$33,0)+MATCH(L$41,$C$32:$V$32,0)-1)</f>
        <v>84325960.560730129</v>
      </c>
      <c r="M43" s="32">
        <v>0.64159999999999995</v>
      </c>
      <c r="N43" s="19">
        <f>L43*M43</f>
        <v>54103536.295764446</v>
      </c>
      <c r="O43" s="19" cm="1">
        <f t="array" ref="O43">INDEX($C$34:$V$36,MATCH($B43,$B$34:$B$36,0),MATCH(O$42,$C$33:$V$33,0)+MATCH(O$41,$C$32:$V$32,0)-1)</f>
        <v>84875203.294111565</v>
      </c>
      <c r="P43" s="32">
        <v>0.64159999999999995</v>
      </c>
      <c r="Q43" s="19">
        <f>O43*P43</f>
        <v>54455930.433501974</v>
      </c>
    </row>
    <row r="44" spans="2:22" x14ac:dyDescent="0.3">
      <c r="B44" s="1" t="s">
        <v>19</v>
      </c>
      <c r="C44" s="19" cm="1">
        <f t="array" ref="C44">INDEX($C$34:$V$36,MATCH($B44,$B$34:$B$36,0),MATCH(C$42,$C$33:$V$33,0)+MATCH(C$41,$C$32:$V$32,0)-1)</f>
        <v>2099010.1682751714</v>
      </c>
      <c r="D44" s="10">
        <f>D43</f>
        <v>0.64159999999999995</v>
      </c>
      <c r="E44" s="19">
        <f t="shared" ref="E44:E45" si="57">C44*D44</f>
        <v>1346724.9239653498</v>
      </c>
      <c r="F44" s="19" cm="1">
        <f t="array" ref="F44">INDEX($C$34:$V$36,MATCH($B44,$B$34:$B$36,0),MATCH(F$42,$C$33:$V$33,0)+MATCH(F$41,$C$32:$V$32,0)-1)</f>
        <v>2740776.2754158606</v>
      </c>
      <c r="G44" s="10">
        <f>G43</f>
        <v>0.64159999999999995</v>
      </c>
      <c r="H44" s="19">
        <f t="shared" ref="H44:H45" si="58">F44*G44</f>
        <v>1758482.058306816</v>
      </c>
      <c r="I44" s="19" cm="1">
        <f t="array" ref="I44">INDEX($C$34:$V$36,MATCH($B44,$B$34:$B$36,0),MATCH(I$42,$C$33:$V$33,0)+MATCH(I$41,$C$32:$V$32,0)-1)</f>
        <v>2758627.8533058302</v>
      </c>
      <c r="J44" s="10">
        <f>J43</f>
        <v>0.64159999999999995</v>
      </c>
      <c r="K44" s="19">
        <f t="shared" ref="K44:K45" si="59">I44*J44</f>
        <v>1769935.6306810204</v>
      </c>
      <c r="L44" s="19" cm="1">
        <f t="array" ref="L44">INDEX($C$34:$V$36,MATCH($B44,$B$34:$B$36,0),MATCH(L$42,$C$33:$V$33,0)+MATCH(L$41,$C$32:$V$32,0)-1)</f>
        <v>2776595.7043976737</v>
      </c>
      <c r="M44" s="10">
        <f>M43</f>
        <v>0.64159999999999995</v>
      </c>
      <c r="N44" s="19">
        <f t="shared" ref="N44:N45" si="60">L44*M44</f>
        <v>1781463.8039415474</v>
      </c>
      <c r="O44" s="19" cm="1">
        <f t="array" ref="O44">INDEX($C$34:$V$36,MATCH($B44,$B$34:$B$36,0),MATCH(O$42,$C$33:$V$33,0)+MATCH(O$41,$C$32:$V$32,0)-1)</f>
        <v>2794680.586017021</v>
      </c>
      <c r="P44" s="10">
        <f>P43</f>
        <v>0.64159999999999995</v>
      </c>
      <c r="Q44" s="19">
        <f t="shared" ref="Q44:Q45" si="61">O44*P44</f>
        <v>1793067.0639885205</v>
      </c>
    </row>
    <row r="45" spans="2:22" ht="14.4" thickBot="1" x14ac:dyDescent="0.35">
      <c r="B45" s="24" t="s">
        <v>20</v>
      </c>
      <c r="C45" s="26" cm="1">
        <f t="array" ref="C45">INDEX($C$34:$V$36,MATCH($B45,$B$34:$B$36,0),MATCH(C$42,$C$33:$V$33,0)+MATCH(C$41,$C$32:$V$32,0)-1)</f>
        <v>39480687.94112166</v>
      </c>
      <c r="D45" s="31">
        <f t="shared" ref="D45" si="62">D44</f>
        <v>0.64159999999999995</v>
      </c>
      <c r="E45" s="26">
        <f t="shared" si="57"/>
        <v>25330809.383023657</v>
      </c>
      <c r="F45" s="26" cm="1">
        <f t="array" ref="F45">INDEX($C$34:$V$36,MATCH($B45,$B$34:$B$36,0),MATCH(F$42,$C$33:$V$33,0)+MATCH(F$41,$C$32:$V$32,0)-1)</f>
        <v>51551790.687627442</v>
      </c>
      <c r="G45" s="31">
        <f t="shared" ref="G45" si="63">G44</f>
        <v>0.64159999999999995</v>
      </c>
      <c r="H45" s="26">
        <f t="shared" si="58"/>
        <v>33075628.905181766</v>
      </c>
      <c r="I45" s="26" cm="1">
        <f t="array" ref="I45">INDEX($C$34:$V$36,MATCH($B45,$B$34:$B$36,0),MATCH(I$42,$C$33:$V$33,0)+MATCH(I$41,$C$32:$V$32,0)-1)</f>
        <v>51887564.466422275</v>
      </c>
      <c r="J45" s="31">
        <f t="shared" ref="J45" si="64">J44</f>
        <v>0.64159999999999995</v>
      </c>
      <c r="K45" s="26">
        <f t="shared" si="59"/>
        <v>33291061.361656528</v>
      </c>
      <c r="L45" s="26" cm="1">
        <f t="array" ref="L45">INDEX($C$34:$V$36,MATCH($B45,$B$34:$B$36,0),MATCH(L$42,$C$33:$V$33,0)+MATCH(L$41,$C$32:$V$32,0)-1)</f>
        <v>52225525.250343844</v>
      </c>
      <c r="M45" s="31">
        <f t="shared" ref="M45" si="65">M44</f>
        <v>0.64159999999999995</v>
      </c>
      <c r="N45" s="26">
        <f t="shared" si="60"/>
        <v>33507897.000620607</v>
      </c>
      <c r="O45" s="26" cm="1">
        <f t="array" ref="O45">INDEX($C$34:$V$36,MATCH($B45,$B$34:$B$36,0),MATCH(O$42,$C$33:$V$33,0)+MATCH(O$41,$C$32:$V$32,0)-1)</f>
        <v>52565687.284076288</v>
      </c>
      <c r="P45" s="31">
        <f t="shared" ref="P45" si="66">P44</f>
        <v>0.64159999999999995</v>
      </c>
      <c r="Q45" s="26">
        <f t="shared" si="61"/>
        <v>33726144.961463347</v>
      </c>
    </row>
    <row r="46" spans="2:22" ht="14.4" thickTop="1" x14ac:dyDescent="0.3">
      <c r="B46" s="20" t="s">
        <v>21</v>
      </c>
      <c r="C46" s="22">
        <f>SUM(C43:C45)</f>
        <v>105327203.15170561</v>
      </c>
      <c r="D46" s="33"/>
      <c r="E46" s="22">
        <f>SUM(E43:E45)</f>
        <v>67577933.542134315</v>
      </c>
      <c r="F46" s="22">
        <f>SUM(F43:F45)</f>
        <v>137530681.80289868</v>
      </c>
      <c r="G46" s="33"/>
      <c r="H46" s="22">
        <f>SUM(H43:H45)</f>
        <v>88239685.444739789</v>
      </c>
      <c r="I46" s="22">
        <f>SUM(I43:I45)</f>
        <v>138426464.39576739</v>
      </c>
      <c r="J46" s="33"/>
      <c r="K46" s="22">
        <f>SUM(K43:K45)</f>
        <v>88814419.556324348</v>
      </c>
      <c r="L46" s="22">
        <f>SUM(L43:L45)</f>
        <v>139328081.51547164</v>
      </c>
      <c r="M46" s="33"/>
      <c r="N46" s="22">
        <f>SUM(N43:N45)</f>
        <v>89392897.100326598</v>
      </c>
      <c r="O46" s="22">
        <f>SUM(O43:O45)</f>
        <v>140235571.1642049</v>
      </c>
      <c r="P46" s="33"/>
      <c r="Q46" s="22">
        <f>SUM(Q43:Q45)</f>
        <v>89975142.458953843</v>
      </c>
    </row>
    <row r="48" spans="2:22" x14ac:dyDescent="0.3">
      <c r="B48" s="8" t="s">
        <v>38</v>
      </c>
    </row>
  </sheetData>
  <sheetProtection algorithmName="SHA-512" hashValue="oXlRzNtftRb7UcAj1xyvbeSZN7d0Vfs6SzIyGlxQHhc8l5r1ARbW6slSSKVSSE9fik7LnHutxsJIoPHtAeWgDw==" saltValue="vT3ks0cXV6EUtx+x5iuJq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BE34C-B0CB-414B-9640-930014875EA5}">
  <sheetPr>
    <tabColor theme="1"/>
  </sheetPr>
  <dimension ref="B1:AC55"/>
  <sheetViews>
    <sheetView workbookViewId="0">
      <selection activeCell="D24" sqref="D24 D25:E25"/>
    </sheetView>
  </sheetViews>
  <sheetFormatPr defaultRowHeight="13.8" x14ac:dyDescent="0.3"/>
  <cols>
    <col min="19" max="20" width="9.33203125" bestFit="1" customWidth="1"/>
    <col min="21" max="22" width="10" bestFit="1" customWidth="1"/>
    <col min="26" max="27" width="9.33203125" bestFit="1" customWidth="1"/>
    <col min="28" max="29" width="10" bestFit="1" customWidth="1"/>
  </cols>
  <sheetData>
    <row r="1" spans="2:29" x14ac:dyDescent="0.3">
      <c r="B1" s="5"/>
    </row>
    <row r="2" spans="2:29" x14ac:dyDescent="0.3">
      <c r="D2" s="4">
        <f>SUBTOTAL(9,D5:D55)</f>
        <v>340834</v>
      </c>
    </row>
    <row r="3" spans="2:29" x14ac:dyDescent="0.3">
      <c r="D3" s="4">
        <f>SUM(D5:D55)</f>
        <v>340834</v>
      </c>
    </row>
    <row r="4" spans="2:29" x14ac:dyDescent="0.3">
      <c r="B4" s="2" t="s">
        <v>39</v>
      </c>
      <c r="C4" s="2" t="s">
        <v>40</v>
      </c>
      <c r="D4" s="2" t="s">
        <v>41</v>
      </c>
      <c r="E4" s="2" t="s">
        <v>42</v>
      </c>
      <c r="F4" s="6" t="s">
        <v>43</v>
      </c>
      <c r="Q4" s="2" t="s">
        <v>39</v>
      </c>
      <c r="R4" s="2" t="s">
        <v>40</v>
      </c>
      <c r="S4" s="2" t="s">
        <v>44</v>
      </c>
      <c r="T4" s="2" t="s">
        <v>45</v>
      </c>
      <c r="U4" s="2" t="s">
        <v>46</v>
      </c>
      <c r="V4" s="2" t="s">
        <v>47</v>
      </c>
      <c r="X4" s="2" t="s">
        <v>39</v>
      </c>
      <c r="Y4" s="2" t="s">
        <v>40</v>
      </c>
      <c r="Z4" s="2" t="s">
        <v>44</v>
      </c>
      <c r="AA4" s="2" t="s">
        <v>45</v>
      </c>
      <c r="AB4" s="2" t="s">
        <v>46</v>
      </c>
      <c r="AC4" s="2" t="s">
        <v>47</v>
      </c>
    </row>
    <row r="5" spans="2:29" x14ac:dyDescent="0.3">
      <c r="B5" s="2" t="s">
        <v>48</v>
      </c>
      <c r="C5" s="2">
        <v>2022</v>
      </c>
      <c r="D5" s="3">
        <v>6742</v>
      </c>
      <c r="E5" s="3">
        <v>6742</v>
      </c>
      <c r="F5" s="7">
        <v>0</v>
      </c>
      <c r="Q5" s="2" t="s">
        <v>48</v>
      </c>
      <c r="R5" s="2">
        <v>2022</v>
      </c>
      <c r="S5" s="3">
        <v>6742</v>
      </c>
      <c r="T5" s="3">
        <v>6253</v>
      </c>
      <c r="U5" s="3">
        <v>12995</v>
      </c>
      <c r="V5" s="3">
        <v>12995</v>
      </c>
      <c r="X5" s="2" t="s">
        <v>48</v>
      </c>
      <c r="Y5" s="2">
        <v>2022</v>
      </c>
      <c r="Z5" s="3">
        <v>6742</v>
      </c>
      <c r="AA5" s="3">
        <v>3494</v>
      </c>
      <c r="AB5" s="3">
        <v>10236</v>
      </c>
      <c r="AC5" s="3">
        <v>10236</v>
      </c>
    </row>
    <row r="6" spans="2:29" x14ac:dyDescent="0.3">
      <c r="B6" s="2" t="s">
        <v>49</v>
      </c>
      <c r="C6" s="2">
        <v>2022</v>
      </c>
      <c r="D6" s="3">
        <v>6670</v>
      </c>
      <c r="E6" s="3">
        <v>211</v>
      </c>
      <c r="F6" s="7">
        <f>D5+E6-D6</f>
        <v>283</v>
      </c>
      <c r="Q6" s="2" t="s">
        <v>49</v>
      </c>
      <c r="R6" s="2">
        <v>2022</v>
      </c>
      <c r="S6" s="3">
        <v>6670</v>
      </c>
      <c r="T6" s="3">
        <v>6217</v>
      </c>
      <c r="U6" s="3">
        <v>12887</v>
      </c>
      <c r="V6" s="3">
        <v>305</v>
      </c>
      <c r="X6" s="2" t="s">
        <v>49</v>
      </c>
      <c r="Y6" s="2">
        <v>2022</v>
      </c>
      <c r="Z6" s="3">
        <v>6670</v>
      </c>
      <c r="AA6" s="3">
        <v>3464</v>
      </c>
      <c r="AB6" s="3">
        <v>10134</v>
      </c>
      <c r="AC6" s="3">
        <v>254</v>
      </c>
    </row>
    <row r="7" spans="2:29" x14ac:dyDescent="0.3">
      <c r="B7" s="2" t="s">
        <v>50</v>
      </c>
      <c r="C7" s="2">
        <v>2022</v>
      </c>
      <c r="D7" s="3">
        <v>6673</v>
      </c>
      <c r="E7" s="3">
        <v>214</v>
      </c>
      <c r="F7" s="7">
        <f t="shared" ref="F7:F55" si="0">D6+E7-D7</f>
        <v>211</v>
      </c>
      <c r="Q7" s="2" t="s">
        <v>50</v>
      </c>
      <c r="R7" s="2">
        <v>2022</v>
      </c>
      <c r="S7" s="3">
        <v>6673</v>
      </c>
      <c r="T7" s="3">
        <v>6212</v>
      </c>
      <c r="U7" s="3">
        <v>12885</v>
      </c>
      <c r="V7" s="3">
        <v>325</v>
      </c>
      <c r="X7" s="2" t="s">
        <v>50</v>
      </c>
      <c r="Y7" s="2">
        <v>2022</v>
      </c>
      <c r="Z7" s="3">
        <v>6673</v>
      </c>
      <c r="AA7" s="3">
        <v>3457</v>
      </c>
      <c r="AB7" s="3">
        <v>10130</v>
      </c>
      <c r="AC7" s="3">
        <v>260</v>
      </c>
    </row>
    <row r="8" spans="2:29" x14ac:dyDescent="0.3">
      <c r="B8" s="2" t="s">
        <v>51</v>
      </c>
      <c r="C8" s="2">
        <v>2022</v>
      </c>
      <c r="D8" s="3">
        <v>6605</v>
      </c>
      <c r="E8" s="3">
        <v>198</v>
      </c>
      <c r="F8" s="7">
        <f t="shared" si="0"/>
        <v>266</v>
      </c>
      <c r="Q8" s="2" t="s">
        <v>51</v>
      </c>
      <c r="R8" s="2">
        <v>2022</v>
      </c>
      <c r="S8" s="3">
        <v>6605</v>
      </c>
      <c r="T8" s="3">
        <v>6125</v>
      </c>
      <c r="U8" s="3">
        <v>12730</v>
      </c>
      <c r="V8" s="3">
        <v>267</v>
      </c>
      <c r="X8" s="2" t="s">
        <v>51</v>
      </c>
      <c r="Y8" s="2">
        <v>2022</v>
      </c>
      <c r="Z8" s="3">
        <v>6605</v>
      </c>
      <c r="AA8" s="3">
        <v>3411</v>
      </c>
      <c r="AB8" s="3">
        <v>10016</v>
      </c>
      <c r="AC8" s="3">
        <v>235</v>
      </c>
    </row>
    <row r="9" spans="2:29" x14ac:dyDescent="0.3">
      <c r="B9" s="2" t="s">
        <v>52</v>
      </c>
      <c r="C9" s="2">
        <v>2022</v>
      </c>
      <c r="D9" s="3">
        <v>6589</v>
      </c>
      <c r="E9" s="3">
        <v>186</v>
      </c>
      <c r="F9" s="7">
        <f t="shared" si="0"/>
        <v>202</v>
      </c>
      <c r="Q9" s="2" t="s">
        <v>52</v>
      </c>
      <c r="R9" s="2">
        <v>2022</v>
      </c>
      <c r="S9" s="3">
        <v>6589</v>
      </c>
      <c r="T9" s="3">
        <v>6103</v>
      </c>
      <c r="U9" s="3">
        <v>12692</v>
      </c>
      <c r="V9" s="3">
        <v>270</v>
      </c>
      <c r="X9" s="2" t="s">
        <v>52</v>
      </c>
      <c r="Y9" s="2">
        <v>2022</v>
      </c>
      <c r="Z9" s="3">
        <v>6589</v>
      </c>
      <c r="AA9" s="3">
        <v>3402</v>
      </c>
      <c r="AB9" s="3">
        <v>9991</v>
      </c>
      <c r="AC9" s="3">
        <v>228</v>
      </c>
    </row>
    <row r="10" spans="2:29" x14ac:dyDescent="0.3">
      <c r="B10" s="2" t="s">
        <v>53</v>
      </c>
      <c r="C10" s="2">
        <v>2022</v>
      </c>
      <c r="D10" s="3">
        <v>6608</v>
      </c>
      <c r="E10" s="3">
        <v>202</v>
      </c>
      <c r="F10" s="7">
        <f t="shared" si="0"/>
        <v>183</v>
      </c>
      <c r="Q10" s="2" t="s">
        <v>53</v>
      </c>
      <c r="R10" s="2">
        <v>2022</v>
      </c>
      <c r="S10" s="3">
        <v>6608</v>
      </c>
      <c r="T10" s="3">
        <v>6092</v>
      </c>
      <c r="U10" s="3">
        <v>12700</v>
      </c>
      <c r="V10" s="3">
        <v>279</v>
      </c>
      <c r="X10" s="2" t="s">
        <v>53</v>
      </c>
      <c r="Y10" s="2">
        <v>2022</v>
      </c>
      <c r="Z10" s="3">
        <v>6608</v>
      </c>
      <c r="AA10" s="3">
        <v>3392</v>
      </c>
      <c r="AB10" s="3">
        <v>10000</v>
      </c>
      <c r="AC10" s="3">
        <v>237</v>
      </c>
    </row>
    <row r="11" spans="2:29" x14ac:dyDescent="0.3">
      <c r="B11" s="2" t="s">
        <v>54</v>
      </c>
      <c r="C11" s="2">
        <v>2022</v>
      </c>
      <c r="D11" s="3">
        <v>6567</v>
      </c>
      <c r="E11" s="3">
        <v>170</v>
      </c>
      <c r="F11" s="7">
        <f t="shared" si="0"/>
        <v>211</v>
      </c>
      <c r="Q11" s="2" t="s">
        <v>54</v>
      </c>
      <c r="R11" s="2">
        <v>2022</v>
      </c>
      <c r="S11" s="3">
        <v>6567</v>
      </c>
      <c r="T11" s="3">
        <v>6023</v>
      </c>
      <c r="U11" s="3">
        <v>12590</v>
      </c>
      <c r="V11" s="3">
        <v>230</v>
      </c>
      <c r="X11" s="2" t="s">
        <v>54</v>
      </c>
      <c r="Y11" s="2">
        <v>2022</v>
      </c>
      <c r="Z11" s="3">
        <v>6567</v>
      </c>
      <c r="AA11" s="3">
        <v>3328</v>
      </c>
      <c r="AB11" s="3">
        <v>9895</v>
      </c>
      <c r="AC11" s="3">
        <v>186</v>
      </c>
    </row>
    <row r="12" spans="2:29" x14ac:dyDescent="0.3">
      <c r="B12" s="2" t="s">
        <v>55</v>
      </c>
      <c r="C12" s="2">
        <v>2022</v>
      </c>
      <c r="D12" s="3">
        <v>6617</v>
      </c>
      <c r="E12" s="3">
        <v>213</v>
      </c>
      <c r="F12" s="7">
        <f t="shared" si="0"/>
        <v>163</v>
      </c>
      <c r="Q12" s="2" t="s">
        <v>55</v>
      </c>
      <c r="R12" s="2">
        <v>2022</v>
      </c>
      <c r="S12" s="3">
        <v>6617</v>
      </c>
      <c r="T12" s="3">
        <v>6008</v>
      </c>
      <c r="U12" s="3">
        <v>12625</v>
      </c>
      <c r="V12" s="3">
        <v>286</v>
      </c>
      <c r="X12" s="2" t="s">
        <v>55</v>
      </c>
      <c r="Y12" s="2">
        <v>2022</v>
      </c>
      <c r="Z12" s="3">
        <v>6617</v>
      </c>
      <c r="AA12" s="3">
        <v>3331</v>
      </c>
      <c r="AB12" s="3">
        <v>9948</v>
      </c>
      <c r="AC12" s="3">
        <v>253</v>
      </c>
    </row>
    <row r="13" spans="2:29" x14ac:dyDescent="0.3">
      <c r="B13" s="2" t="s">
        <v>56</v>
      </c>
      <c r="C13" s="2">
        <v>2022</v>
      </c>
      <c r="D13" s="3">
        <v>6582</v>
      </c>
      <c r="E13" s="3">
        <v>165</v>
      </c>
      <c r="F13" s="7">
        <f t="shared" si="0"/>
        <v>200</v>
      </c>
      <c r="Q13" s="2" t="s">
        <v>56</v>
      </c>
      <c r="R13" s="2">
        <v>2022</v>
      </c>
      <c r="S13" s="3">
        <v>6582</v>
      </c>
      <c r="T13" s="3">
        <v>5985</v>
      </c>
      <c r="U13" s="3">
        <v>12567</v>
      </c>
      <c r="V13" s="3">
        <v>233</v>
      </c>
      <c r="X13" s="2" t="s">
        <v>56</v>
      </c>
      <c r="Y13" s="2">
        <v>2022</v>
      </c>
      <c r="Z13" s="3">
        <v>6582</v>
      </c>
      <c r="AA13" s="3">
        <v>3331</v>
      </c>
      <c r="AB13" s="3">
        <v>9913</v>
      </c>
      <c r="AC13" s="3">
        <v>208</v>
      </c>
    </row>
    <row r="14" spans="2:29" x14ac:dyDescent="0.3">
      <c r="B14" s="2" t="s">
        <v>57</v>
      </c>
      <c r="C14" s="2">
        <v>2022</v>
      </c>
      <c r="D14" s="3">
        <v>6604</v>
      </c>
      <c r="E14" s="3">
        <v>174</v>
      </c>
      <c r="F14" s="7">
        <f t="shared" si="0"/>
        <v>152</v>
      </c>
      <c r="Q14" s="2" t="s">
        <v>57</v>
      </c>
      <c r="R14" s="2">
        <v>2022</v>
      </c>
      <c r="S14" s="3">
        <v>6604</v>
      </c>
      <c r="T14" s="3">
        <v>5980</v>
      </c>
      <c r="U14" s="3">
        <v>12584</v>
      </c>
      <c r="V14" s="3">
        <v>243</v>
      </c>
      <c r="X14" s="2" t="s">
        <v>57</v>
      </c>
      <c r="Y14" s="2">
        <v>2022</v>
      </c>
      <c r="Z14" s="3">
        <v>6604</v>
      </c>
      <c r="AA14" s="3">
        <v>3338</v>
      </c>
      <c r="AB14" s="3">
        <v>9942</v>
      </c>
      <c r="AC14" s="3">
        <v>218</v>
      </c>
    </row>
    <row r="15" spans="2:29" x14ac:dyDescent="0.3">
      <c r="B15" s="2" t="s">
        <v>58</v>
      </c>
      <c r="C15" s="2">
        <v>2022</v>
      </c>
      <c r="D15" s="3">
        <v>6640</v>
      </c>
      <c r="E15" s="3">
        <v>189</v>
      </c>
      <c r="F15" s="7">
        <f t="shared" si="0"/>
        <v>153</v>
      </c>
      <c r="Q15" s="2" t="s">
        <v>58</v>
      </c>
      <c r="R15" s="2">
        <v>2022</v>
      </c>
      <c r="S15" s="3">
        <v>6640</v>
      </c>
      <c r="T15" s="3">
        <v>5967</v>
      </c>
      <c r="U15" s="3">
        <v>12607</v>
      </c>
      <c r="V15" s="3">
        <v>268</v>
      </c>
      <c r="X15" s="2" t="s">
        <v>58</v>
      </c>
      <c r="Y15" s="2">
        <v>2022</v>
      </c>
      <c r="Z15" s="3">
        <v>6640</v>
      </c>
      <c r="AA15" s="3">
        <v>3312</v>
      </c>
      <c r="AB15" s="3">
        <v>9952</v>
      </c>
      <c r="AC15" s="3">
        <v>217</v>
      </c>
    </row>
    <row r="16" spans="2:29" x14ac:dyDescent="0.3">
      <c r="B16" s="2" t="s">
        <v>59</v>
      </c>
      <c r="C16" s="2">
        <v>2022</v>
      </c>
      <c r="D16" s="3">
        <v>6625</v>
      </c>
      <c r="E16" s="3">
        <v>189</v>
      </c>
      <c r="F16" s="7">
        <f t="shared" si="0"/>
        <v>204</v>
      </c>
      <c r="Q16" s="2" t="s">
        <v>59</v>
      </c>
      <c r="R16" s="2">
        <v>2022</v>
      </c>
      <c r="S16" s="3">
        <v>6625</v>
      </c>
      <c r="T16" s="3">
        <v>5915</v>
      </c>
      <c r="U16" s="3">
        <v>12540</v>
      </c>
      <c r="V16" s="3">
        <v>255</v>
      </c>
      <c r="X16" s="2" t="s">
        <v>59</v>
      </c>
      <c r="Y16" s="2">
        <v>2022</v>
      </c>
      <c r="Z16" s="3">
        <v>6625</v>
      </c>
      <c r="AA16" s="3">
        <v>3299</v>
      </c>
      <c r="AB16" s="3">
        <v>9924</v>
      </c>
      <c r="AC16" s="3">
        <v>237</v>
      </c>
    </row>
    <row r="17" spans="2:29" x14ac:dyDescent="0.3">
      <c r="B17" s="2" t="s">
        <v>60</v>
      </c>
      <c r="C17" s="2">
        <v>2023</v>
      </c>
      <c r="D17" s="3">
        <v>6610</v>
      </c>
      <c r="E17" s="3">
        <v>183</v>
      </c>
      <c r="F17" s="7">
        <f t="shared" si="0"/>
        <v>198</v>
      </c>
      <c r="Q17" s="2" t="s">
        <v>60</v>
      </c>
      <c r="R17" s="2">
        <v>2023</v>
      </c>
      <c r="S17" s="3">
        <v>6610</v>
      </c>
      <c r="T17" s="3">
        <v>5891</v>
      </c>
      <c r="U17" s="3">
        <v>12501</v>
      </c>
      <c r="V17" s="3">
        <v>239</v>
      </c>
      <c r="X17" s="2" t="s">
        <v>60</v>
      </c>
      <c r="Y17" s="2">
        <v>2023</v>
      </c>
      <c r="Z17" s="3">
        <v>6610</v>
      </c>
      <c r="AA17" s="3">
        <v>3285</v>
      </c>
      <c r="AB17" s="3">
        <v>9895</v>
      </c>
      <c r="AC17" s="3">
        <v>206</v>
      </c>
    </row>
    <row r="18" spans="2:29" x14ac:dyDescent="0.3">
      <c r="B18" s="2" t="s">
        <v>61</v>
      </c>
      <c r="C18" s="2">
        <v>2023</v>
      </c>
      <c r="D18" s="3">
        <v>6613</v>
      </c>
      <c r="E18" s="3">
        <v>180</v>
      </c>
      <c r="F18" s="7">
        <f t="shared" si="0"/>
        <v>177</v>
      </c>
      <c r="Q18" s="2" t="s">
        <v>61</v>
      </c>
      <c r="R18" s="2">
        <v>2023</v>
      </c>
      <c r="S18" s="3">
        <v>6613</v>
      </c>
      <c r="T18" s="3">
        <v>5861</v>
      </c>
      <c r="U18" s="3">
        <v>12474</v>
      </c>
      <c r="V18" s="3">
        <v>243</v>
      </c>
      <c r="X18" s="2" t="s">
        <v>61</v>
      </c>
      <c r="Y18" s="2">
        <v>2023</v>
      </c>
      <c r="Z18" s="3">
        <v>6613</v>
      </c>
      <c r="AA18" s="3">
        <v>3253</v>
      </c>
      <c r="AB18" s="3">
        <v>9866</v>
      </c>
      <c r="AC18" s="3">
        <v>213</v>
      </c>
    </row>
    <row r="19" spans="2:29" x14ac:dyDescent="0.3">
      <c r="B19" s="2" t="s">
        <v>62</v>
      </c>
      <c r="C19" s="2">
        <v>2023</v>
      </c>
      <c r="D19" s="3">
        <v>6647</v>
      </c>
      <c r="E19" s="3">
        <v>201</v>
      </c>
      <c r="F19" s="7">
        <f t="shared" si="0"/>
        <v>167</v>
      </c>
      <c r="Q19" s="2" t="s">
        <v>62</v>
      </c>
      <c r="R19" s="2">
        <v>2023</v>
      </c>
      <c r="S19" s="3">
        <v>6647</v>
      </c>
      <c r="T19" s="3">
        <v>5844</v>
      </c>
      <c r="U19" s="3">
        <v>12491</v>
      </c>
      <c r="V19" s="3">
        <v>263</v>
      </c>
      <c r="X19" s="2" t="s">
        <v>62</v>
      </c>
      <c r="Y19" s="2">
        <v>2023</v>
      </c>
      <c r="Z19" s="3">
        <v>6647</v>
      </c>
      <c r="AA19" s="3">
        <v>3251</v>
      </c>
      <c r="AB19" s="3">
        <v>9898</v>
      </c>
      <c r="AC19" s="3">
        <v>234</v>
      </c>
    </row>
    <row r="20" spans="2:29" x14ac:dyDescent="0.3">
      <c r="B20" s="2" t="s">
        <v>63</v>
      </c>
      <c r="C20" s="2">
        <v>2023</v>
      </c>
      <c r="D20" s="3">
        <v>6625</v>
      </c>
      <c r="E20" s="3">
        <v>175</v>
      </c>
      <c r="F20" s="7">
        <f t="shared" si="0"/>
        <v>197</v>
      </c>
      <c r="Q20" s="2" t="s">
        <v>63</v>
      </c>
      <c r="R20" s="2">
        <v>2023</v>
      </c>
      <c r="S20" s="3">
        <v>6625</v>
      </c>
      <c r="T20" s="3">
        <v>5801</v>
      </c>
      <c r="U20" s="3">
        <v>12426</v>
      </c>
      <c r="V20" s="3">
        <v>226</v>
      </c>
      <c r="X20" s="2" t="s">
        <v>63</v>
      </c>
      <c r="Y20" s="2">
        <v>2023</v>
      </c>
      <c r="Z20" s="3">
        <v>6625</v>
      </c>
      <c r="AA20" s="3">
        <v>3216</v>
      </c>
      <c r="AB20" s="3">
        <v>9841</v>
      </c>
      <c r="AC20" s="3">
        <v>191</v>
      </c>
    </row>
    <row r="21" spans="2:29" x14ac:dyDescent="0.3">
      <c r="B21" s="2" t="s">
        <v>64</v>
      </c>
      <c r="C21" s="2">
        <v>2023</v>
      </c>
      <c r="D21" s="3">
        <v>6686</v>
      </c>
      <c r="E21" s="3">
        <v>178</v>
      </c>
      <c r="F21" s="7">
        <f t="shared" si="0"/>
        <v>117</v>
      </c>
      <c r="Q21" s="2" t="s">
        <v>64</v>
      </c>
      <c r="R21" s="2">
        <v>2023</v>
      </c>
      <c r="S21" s="3">
        <v>6686</v>
      </c>
      <c r="T21" s="3">
        <v>5807</v>
      </c>
      <c r="U21" s="3">
        <v>12493</v>
      </c>
      <c r="V21" s="3">
        <v>233</v>
      </c>
      <c r="X21" s="2" t="s">
        <v>64</v>
      </c>
      <c r="Y21" s="2">
        <v>2023</v>
      </c>
      <c r="Z21" s="3">
        <v>6686</v>
      </c>
      <c r="AA21" s="3">
        <v>3231</v>
      </c>
      <c r="AB21" s="3">
        <v>9917</v>
      </c>
      <c r="AC21" s="3">
        <v>210</v>
      </c>
    </row>
    <row r="22" spans="2:29" x14ac:dyDescent="0.3">
      <c r="B22" s="2" t="s">
        <v>65</v>
      </c>
      <c r="C22" s="2">
        <v>2023</v>
      </c>
      <c r="D22" s="3">
        <v>6696</v>
      </c>
      <c r="E22" s="3">
        <v>197</v>
      </c>
      <c r="F22" s="7">
        <f t="shared" si="0"/>
        <v>187</v>
      </c>
      <c r="Q22" s="2" t="s">
        <v>65</v>
      </c>
      <c r="R22" s="2">
        <v>2023</v>
      </c>
      <c r="S22" s="3">
        <v>6696</v>
      </c>
      <c r="T22" s="3">
        <v>5782</v>
      </c>
      <c r="U22" s="3">
        <v>12478</v>
      </c>
      <c r="V22" s="3">
        <v>267</v>
      </c>
      <c r="X22" s="2" t="s">
        <v>65</v>
      </c>
      <c r="Y22" s="2">
        <v>2023</v>
      </c>
      <c r="Z22" s="3">
        <v>6696</v>
      </c>
      <c r="AA22" s="3">
        <v>3208</v>
      </c>
      <c r="AB22" s="3">
        <v>9904</v>
      </c>
      <c r="AC22" s="3">
        <v>229</v>
      </c>
    </row>
    <row r="23" spans="2:29" x14ac:dyDescent="0.3">
      <c r="B23" s="2" t="s">
        <v>66</v>
      </c>
      <c r="C23" s="2">
        <v>2023</v>
      </c>
      <c r="D23" s="3">
        <v>6712</v>
      </c>
      <c r="E23" s="3">
        <v>166</v>
      </c>
      <c r="F23" s="7">
        <f t="shared" si="0"/>
        <v>150</v>
      </c>
      <c r="Q23" s="2" t="s">
        <v>66</v>
      </c>
      <c r="R23" s="2">
        <v>2023</v>
      </c>
      <c r="S23" s="3">
        <v>6712</v>
      </c>
      <c r="T23" s="3">
        <v>5756</v>
      </c>
      <c r="U23" s="3">
        <v>12468</v>
      </c>
      <c r="V23" s="3">
        <v>227</v>
      </c>
      <c r="X23" s="2" t="s">
        <v>66</v>
      </c>
      <c r="Y23" s="2">
        <v>2023</v>
      </c>
      <c r="Z23" s="3">
        <v>6712</v>
      </c>
      <c r="AA23" s="3">
        <v>3192</v>
      </c>
      <c r="AB23" s="3">
        <v>9904</v>
      </c>
      <c r="AC23" s="3">
        <v>191</v>
      </c>
    </row>
    <row r="24" spans="2:29" x14ac:dyDescent="0.3">
      <c r="B24" s="2" t="s">
        <v>67</v>
      </c>
      <c r="C24" s="2">
        <v>2023</v>
      </c>
      <c r="D24" s="3">
        <v>6719</v>
      </c>
      <c r="E24" s="3">
        <v>167</v>
      </c>
      <c r="F24" s="7">
        <f t="shared" si="0"/>
        <v>160</v>
      </c>
      <c r="Q24" s="2" t="s">
        <v>67</v>
      </c>
      <c r="R24" s="2">
        <v>2023</v>
      </c>
      <c r="S24" s="3">
        <v>6719</v>
      </c>
      <c r="T24" s="3">
        <v>5736</v>
      </c>
      <c r="U24" s="3">
        <v>12455</v>
      </c>
      <c r="V24" s="3">
        <v>242</v>
      </c>
      <c r="X24" s="2" t="s">
        <v>67</v>
      </c>
      <c r="Y24" s="2">
        <v>2023</v>
      </c>
      <c r="Z24" s="3">
        <v>6719</v>
      </c>
      <c r="AA24" s="3">
        <v>3170</v>
      </c>
      <c r="AB24" s="3">
        <v>9889</v>
      </c>
      <c r="AC24" s="3">
        <v>198</v>
      </c>
    </row>
    <row r="25" spans="2:29" x14ac:dyDescent="0.3">
      <c r="B25" s="2" t="s">
        <v>68</v>
      </c>
      <c r="C25" s="2">
        <v>2023</v>
      </c>
      <c r="D25" s="3">
        <v>6698</v>
      </c>
      <c r="E25" s="3">
        <v>162</v>
      </c>
      <c r="F25" s="7">
        <f t="shared" si="0"/>
        <v>183</v>
      </c>
      <c r="Q25" s="2" t="s">
        <v>68</v>
      </c>
      <c r="R25" s="2">
        <v>2023</v>
      </c>
      <c r="S25" s="3">
        <v>6698</v>
      </c>
      <c r="T25" s="3">
        <v>5696</v>
      </c>
      <c r="U25" s="3">
        <v>12394</v>
      </c>
      <c r="V25" s="3">
        <v>202</v>
      </c>
      <c r="X25" s="2" t="s">
        <v>68</v>
      </c>
      <c r="Y25" s="2">
        <v>2023</v>
      </c>
      <c r="Z25" s="3">
        <v>6698</v>
      </c>
      <c r="AA25" s="3">
        <v>3159</v>
      </c>
      <c r="AB25" s="3">
        <v>9857</v>
      </c>
      <c r="AC25" s="3">
        <v>184</v>
      </c>
    </row>
    <row r="26" spans="2:29" x14ac:dyDescent="0.3">
      <c r="B26" s="2" t="s">
        <v>69</v>
      </c>
      <c r="C26" s="2">
        <v>2023</v>
      </c>
      <c r="D26" s="3">
        <v>6711</v>
      </c>
      <c r="E26" s="3">
        <v>167</v>
      </c>
      <c r="F26" s="7">
        <f t="shared" si="0"/>
        <v>154</v>
      </c>
      <c r="Q26" s="2" t="s">
        <v>69</v>
      </c>
      <c r="R26" s="2">
        <v>2023</v>
      </c>
      <c r="S26" s="3">
        <v>6711</v>
      </c>
      <c r="T26" s="3">
        <v>5671</v>
      </c>
      <c r="U26" s="3">
        <v>12382</v>
      </c>
      <c r="V26" s="3">
        <v>210</v>
      </c>
      <c r="X26" s="2" t="s">
        <v>69</v>
      </c>
      <c r="Y26" s="2">
        <v>2023</v>
      </c>
      <c r="Z26" s="3">
        <v>6711</v>
      </c>
      <c r="AA26" s="3">
        <v>3136</v>
      </c>
      <c r="AB26" s="3">
        <v>9847</v>
      </c>
      <c r="AC26" s="3">
        <v>191</v>
      </c>
    </row>
    <row r="27" spans="2:29" x14ac:dyDescent="0.3">
      <c r="B27" s="2" t="s">
        <v>70</v>
      </c>
      <c r="C27" s="2">
        <v>2023</v>
      </c>
      <c r="D27" s="3">
        <v>6700</v>
      </c>
      <c r="E27" s="3">
        <v>169</v>
      </c>
      <c r="F27" s="7">
        <f t="shared" si="0"/>
        <v>180</v>
      </c>
      <c r="Q27" s="2" t="s">
        <v>70</v>
      </c>
      <c r="R27" s="2">
        <v>2023</v>
      </c>
      <c r="S27" s="3">
        <v>6700</v>
      </c>
      <c r="T27" s="3">
        <v>5661</v>
      </c>
      <c r="U27" s="3">
        <v>12361</v>
      </c>
      <c r="V27" s="3">
        <v>242</v>
      </c>
      <c r="X27" s="2" t="s">
        <v>70</v>
      </c>
      <c r="Y27" s="2">
        <v>2023</v>
      </c>
      <c r="Z27" s="3">
        <v>6700</v>
      </c>
      <c r="AA27" s="3">
        <v>3132</v>
      </c>
      <c r="AB27" s="3">
        <v>9832</v>
      </c>
      <c r="AC27" s="3">
        <v>204</v>
      </c>
    </row>
    <row r="28" spans="2:29" x14ac:dyDescent="0.3">
      <c r="B28" s="2" t="s">
        <v>71</v>
      </c>
      <c r="C28" s="2">
        <v>2023</v>
      </c>
      <c r="D28" s="3">
        <v>6633</v>
      </c>
      <c r="E28" s="3">
        <v>138</v>
      </c>
      <c r="F28" s="7">
        <f t="shared" si="0"/>
        <v>205</v>
      </c>
      <c r="Q28" s="2" t="s">
        <v>71</v>
      </c>
      <c r="R28" s="2">
        <v>2023</v>
      </c>
      <c r="S28" s="3">
        <v>6633</v>
      </c>
      <c r="T28" s="3">
        <v>5637</v>
      </c>
      <c r="U28" s="3">
        <v>12270</v>
      </c>
      <c r="V28" s="3">
        <v>184</v>
      </c>
      <c r="X28" s="2" t="s">
        <v>71</v>
      </c>
      <c r="Y28" s="2">
        <v>2023</v>
      </c>
      <c r="Z28" s="3">
        <v>6633</v>
      </c>
      <c r="AA28" s="3">
        <v>3117</v>
      </c>
      <c r="AB28" s="3">
        <v>9750</v>
      </c>
      <c r="AC28" s="3">
        <v>156</v>
      </c>
    </row>
    <row r="29" spans="2:29" x14ac:dyDescent="0.3">
      <c r="B29" s="2" t="s">
        <v>72</v>
      </c>
      <c r="C29" s="2">
        <v>2024</v>
      </c>
      <c r="D29" s="3">
        <v>6625</v>
      </c>
      <c r="E29" s="3">
        <v>183</v>
      </c>
      <c r="F29" s="7">
        <f t="shared" si="0"/>
        <v>191</v>
      </c>
      <c r="Q29" s="2" t="s">
        <v>72</v>
      </c>
      <c r="R29" s="2">
        <v>2024</v>
      </c>
      <c r="S29" s="3">
        <v>6625</v>
      </c>
      <c r="T29" s="3">
        <v>5575</v>
      </c>
      <c r="U29" s="3">
        <v>12200</v>
      </c>
      <c r="V29" s="3">
        <v>220</v>
      </c>
      <c r="X29" s="2" t="s">
        <v>72</v>
      </c>
      <c r="Y29" s="2">
        <v>2024</v>
      </c>
      <c r="Z29" s="3">
        <v>6625</v>
      </c>
      <c r="AA29" s="3">
        <v>3080</v>
      </c>
      <c r="AB29" s="3">
        <v>9705</v>
      </c>
      <c r="AC29" s="3">
        <v>196</v>
      </c>
    </row>
    <row r="30" spans="2:29" x14ac:dyDescent="0.3">
      <c r="B30" s="2" t="s">
        <v>73</v>
      </c>
      <c r="C30" s="2">
        <v>2024</v>
      </c>
      <c r="D30" s="3">
        <v>6600</v>
      </c>
      <c r="E30" s="3">
        <v>198</v>
      </c>
      <c r="F30" s="7">
        <f t="shared" si="0"/>
        <v>223</v>
      </c>
      <c r="Q30" s="2" t="s">
        <v>73</v>
      </c>
      <c r="R30" s="2">
        <v>2024</v>
      </c>
      <c r="S30" s="3">
        <v>6600</v>
      </c>
      <c r="T30" s="3">
        <v>5525</v>
      </c>
      <c r="U30" s="3">
        <v>12125</v>
      </c>
      <c r="V30" s="3">
        <v>253</v>
      </c>
      <c r="X30" s="2" t="s">
        <v>73</v>
      </c>
      <c r="Y30" s="2">
        <v>2024</v>
      </c>
      <c r="Z30" s="3">
        <v>6600</v>
      </c>
      <c r="AA30" s="3">
        <v>3054</v>
      </c>
      <c r="AB30" s="3">
        <v>9654</v>
      </c>
      <c r="AC30" s="3">
        <v>219</v>
      </c>
    </row>
    <row r="31" spans="2:29" x14ac:dyDescent="0.3">
      <c r="B31" s="2" t="s">
        <v>74</v>
      </c>
      <c r="C31" s="2">
        <v>2024</v>
      </c>
      <c r="D31" s="3">
        <v>6599</v>
      </c>
      <c r="E31" s="3">
        <v>186</v>
      </c>
      <c r="F31" s="7">
        <f t="shared" si="0"/>
        <v>187</v>
      </c>
      <c r="Q31" s="2" t="s">
        <v>74</v>
      </c>
      <c r="R31" s="2">
        <v>2024</v>
      </c>
      <c r="S31" s="3">
        <v>6599</v>
      </c>
      <c r="T31" s="3">
        <v>5531</v>
      </c>
      <c r="U31" s="3">
        <v>12130</v>
      </c>
      <c r="V31" s="3">
        <v>246</v>
      </c>
      <c r="X31" s="2" t="s">
        <v>74</v>
      </c>
      <c r="Y31" s="2">
        <v>2024</v>
      </c>
      <c r="Z31" s="3">
        <v>6599</v>
      </c>
      <c r="AA31" s="3">
        <v>3058</v>
      </c>
      <c r="AB31" s="3">
        <v>9657</v>
      </c>
      <c r="AC31" s="3">
        <v>227</v>
      </c>
    </row>
    <row r="32" spans="2:29" x14ac:dyDescent="0.3">
      <c r="B32" s="2" t="s">
        <v>75</v>
      </c>
      <c r="C32" s="2">
        <v>2024</v>
      </c>
      <c r="D32" s="3">
        <v>6658</v>
      </c>
      <c r="E32" s="3">
        <v>196</v>
      </c>
      <c r="F32" s="7">
        <f t="shared" si="0"/>
        <v>137</v>
      </c>
      <c r="Q32" s="2" t="s">
        <v>75</v>
      </c>
      <c r="R32" s="2">
        <v>2024</v>
      </c>
      <c r="S32" s="3">
        <v>6658</v>
      </c>
      <c r="T32" s="3">
        <v>5525</v>
      </c>
      <c r="U32" s="3">
        <v>12183</v>
      </c>
      <c r="V32" s="3">
        <v>252</v>
      </c>
      <c r="X32" s="2" t="s">
        <v>75</v>
      </c>
      <c r="Y32" s="2">
        <v>2024</v>
      </c>
      <c r="Z32" s="3">
        <v>6658</v>
      </c>
      <c r="AA32" s="3">
        <v>3044</v>
      </c>
      <c r="AB32" s="3">
        <v>9702</v>
      </c>
      <c r="AC32" s="3">
        <v>225</v>
      </c>
    </row>
    <row r="33" spans="2:29" x14ac:dyDescent="0.3">
      <c r="B33" s="2" t="s">
        <v>76</v>
      </c>
      <c r="C33" s="2">
        <v>2024</v>
      </c>
      <c r="D33" s="3">
        <v>6659</v>
      </c>
      <c r="E33" s="3">
        <v>175</v>
      </c>
      <c r="F33" s="7">
        <f t="shared" si="0"/>
        <v>174</v>
      </c>
      <c r="Q33" s="2" t="s">
        <v>76</v>
      </c>
      <c r="R33" s="2">
        <v>2024</v>
      </c>
      <c r="S33" s="3">
        <v>6659</v>
      </c>
      <c r="T33" s="3">
        <v>5531</v>
      </c>
      <c r="U33" s="3">
        <v>12190</v>
      </c>
      <c r="V33" s="3">
        <v>236</v>
      </c>
      <c r="X33" s="2" t="s">
        <v>76</v>
      </c>
      <c r="Y33" s="2">
        <v>2024</v>
      </c>
      <c r="Z33" s="3">
        <v>6659</v>
      </c>
      <c r="AA33" s="3">
        <v>3046</v>
      </c>
      <c r="AB33" s="3">
        <v>9705</v>
      </c>
      <c r="AC33" s="3">
        <v>209</v>
      </c>
    </row>
    <row r="34" spans="2:29" x14ac:dyDescent="0.3">
      <c r="B34" s="2" t="s">
        <v>77</v>
      </c>
      <c r="C34" s="2">
        <v>2024</v>
      </c>
      <c r="D34" s="3">
        <v>6636</v>
      </c>
      <c r="E34" s="3">
        <v>162</v>
      </c>
      <c r="F34" s="7">
        <f t="shared" si="0"/>
        <v>185</v>
      </c>
      <c r="Q34" s="2" t="s">
        <v>77</v>
      </c>
      <c r="R34" s="2">
        <v>2024</v>
      </c>
      <c r="S34" s="3">
        <v>6636</v>
      </c>
      <c r="T34" s="3">
        <v>5518</v>
      </c>
      <c r="U34" s="3">
        <v>12154</v>
      </c>
      <c r="V34" s="3">
        <v>215</v>
      </c>
      <c r="X34" s="2" t="s">
        <v>77</v>
      </c>
      <c r="Y34" s="2">
        <v>2024</v>
      </c>
      <c r="Z34" s="3">
        <v>6636</v>
      </c>
      <c r="AA34" s="3">
        <v>3047</v>
      </c>
      <c r="AB34" s="3">
        <v>9683</v>
      </c>
      <c r="AC34" s="3">
        <v>184</v>
      </c>
    </row>
    <row r="35" spans="2:29" x14ac:dyDescent="0.3">
      <c r="B35" s="2" t="s">
        <v>78</v>
      </c>
      <c r="C35" s="2">
        <v>2024</v>
      </c>
      <c r="D35" s="3">
        <v>6687</v>
      </c>
      <c r="E35" s="3">
        <v>167</v>
      </c>
      <c r="F35" s="7">
        <f t="shared" si="0"/>
        <v>116</v>
      </c>
      <c r="Q35" s="2" t="s">
        <v>78</v>
      </c>
      <c r="R35" s="2">
        <v>2024</v>
      </c>
      <c r="S35" s="3">
        <v>6687</v>
      </c>
      <c r="T35" s="3">
        <v>5488</v>
      </c>
      <c r="U35" s="3">
        <v>12175</v>
      </c>
      <c r="V35" s="3">
        <v>218</v>
      </c>
      <c r="X35" s="2" t="s">
        <v>78</v>
      </c>
      <c r="Y35" s="2">
        <v>2024</v>
      </c>
      <c r="Z35" s="3">
        <v>6687</v>
      </c>
      <c r="AA35" s="3">
        <v>3000</v>
      </c>
      <c r="AB35" s="3">
        <v>9687</v>
      </c>
      <c r="AC35" s="3">
        <v>176</v>
      </c>
    </row>
    <row r="36" spans="2:29" x14ac:dyDescent="0.3">
      <c r="B36" s="2" t="s">
        <v>79</v>
      </c>
      <c r="C36" s="2">
        <v>2024</v>
      </c>
      <c r="D36" s="3">
        <v>6691</v>
      </c>
      <c r="E36" s="3">
        <v>155</v>
      </c>
      <c r="F36" s="7">
        <f t="shared" si="0"/>
        <v>151</v>
      </c>
      <c r="Q36" s="2" t="s">
        <v>79</v>
      </c>
      <c r="R36" s="2">
        <v>2024</v>
      </c>
      <c r="S36" s="3">
        <v>6691</v>
      </c>
      <c r="T36" s="3">
        <v>5477</v>
      </c>
      <c r="U36" s="3">
        <v>12168</v>
      </c>
      <c r="V36" s="3">
        <v>206</v>
      </c>
      <c r="X36" s="2" t="s">
        <v>79</v>
      </c>
      <c r="Y36" s="2">
        <v>2024</v>
      </c>
      <c r="Z36" s="3">
        <v>6691</v>
      </c>
      <c r="AA36" s="3">
        <v>2990</v>
      </c>
      <c r="AB36" s="3">
        <v>9681</v>
      </c>
      <c r="AC36" s="3">
        <v>174</v>
      </c>
    </row>
    <row r="37" spans="2:29" x14ac:dyDescent="0.3">
      <c r="B37" s="2" t="s">
        <v>80</v>
      </c>
      <c r="C37" s="2">
        <v>2024</v>
      </c>
      <c r="D37" s="3">
        <v>6689</v>
      </c>
      <c r="E37" s="3">
        <v>177</v>
      </c>
      <c r="F37" s="7">
        <f t="shared" si="0"/>
        <v>179</v>
      </c>
      <c r="Q37" s="2" t="s">
        <v>80</v>
      </c>
      <c r="R37" s="2">
        <v>2024</v>
      </c>
      <c r="S37" s="3">
        <v>6689</v>
      </c>
      <c r="T37" s="3">
        <v>5473</v>
      </c>
      <c r="U37" s="3">
        <v>12162</v>
      </c>
      <c r="V37" s="3">
        <v>229</v>
      </c>
      <c r="X37" s="2" t="s">
        <v>80</v>
      </c>
      <c r="Y37" s="2">
        <v>2024</v>
      </c>
      <c r="Z37" s="3">
        <v>6689</v>
      </c>
      <c r="AA37" s="3">
        <v>2985</v>
      </c>
      <c r="AB37" s="3">
        <v>9674</v>
      </c>
      <c r="AC37" s="3">
        <v>192</v>
      </c>
    </row>
    <row r="38" spans="2:29" x14ac:dyDescent="0.3">
      <c r="B38" s="2" t="s">
        <v>81</v>
      </c>
      <c r="C38" s="2">
        <v>2024</v>
      </c>
      <c r="D38" s="3">
        <v>6710</v>
      </c>
      <c r="E38" s="3">
        <v>172</v>
      </c>
      <c r="F38" s="7">
        <f t="shared" si="0"/>
        <v>151</v>
      </c>
      <c r="Q38" s="2" t="s">
        <v>81</v>
      </c>
      <c r="R38" s="2">
        <v>2024</v>
      </c>
      <c r="S38" s="3">
        <v>6710</v>
      </c>
      <c r="T38" s="3">
        <v>5457</v>
      </c>
      <c r="U38" s="3">
        <v>12167</v>
      </c>
      <c r="V38" s="3">
        <v>226</v>
      </c>
      <c r="X38" s="2" t="s">
        <v>81</v>
      </c>
      <c r="Y38" s="2">
        <v>2024</v>
      </c>
      <c r="Z38" s="3">
        <v>6710</v>
      </c>
      <c r="AA38" s="3">
        <v>3000</v>
      </c>
      <c r="AB38" s="3">
        <v>9710</v>
      </c>
      <c r="AC38" s="3">
        <v>222</v>
      </c>
    </row>
    <row r="39" spans="2:29" x14ac:dyDescent="0.3">
      <c r="B39" s="2" t="s">
        <v>82</v>
      </c>
      <c r="C39" s="2">
        <v>2024</v>
      </c>
      <c r="D39" s="3">
        <v>6688</v>
      </c>
      <c r="E39" s="3">
        <v>142</v>
      </c>
      <c r="F39" s="7">
        <f t="shared" si="0"/>
        <v>164</v>
      </c>
      <c r="Q39" s="2" t="s">
        <v>82</v>
      </c>
      <c r="R39" s="2">
        <v>2024</v>
      </c>
      <c r="S39" s="3">
        <v>6688</v>
      </c>
      <c r="T39" s="3">
        <v>5419</v>
      </c>
      <c r="U39" s="3">
        <v>12107</v>
      </c>
      <c r="V39" s="3">
        <v>174</v>
      </c>
      <c r="X39" s="2" t="s">
        <v>82</v>
      </c>
      <c r="Y39" s="2">
        <v>2024</v>
      </c>
      <c r="Z39" s="3">
        <v>6688</v>
      </c>
      <c r="AA39" s="3">
        <v>2975</v>
      </c>
      <c r="AB39" s="3">
        <v>9663</v>
      </c>
      <c r="AC39" s="3">
        <v>159</v>
      </c>
    </row>
    <row r="40" spans="2:29" x14ac:dyDescent="0.3">
      <c r="B40" s="2" t="s">
        <v>83</v>
      </c>
      <c r="C40" s="2">
        <v>2024</v>
      </c>
      <c r="D40" s="3">
        <v>6707</v>
      </c>
      <c r="E40" s="3">
        <v>159</v>
      </c>
      <c r="F40" s="7">
        <f t="shared" si="0"/>
        <v>140</v>
      </c>
      <c r="Q40" s="2" t="s">
        <v>83</v>
      </c>
      <c r="R40" s="2">
        <v>2024</v>
      </c>
      <c r="S40" s="3">
        <v>6707</v>
      </c>
      <c r="T40" s="3">
        <v>5355</v>
      </c>
      <c r="U40" s="3">
        <v>12062</v>
      </c>
      <c r="V40" s="3">
        <v>182</v>
      </c>
      <c r="X40" s="2" t="s">
        <v>83</v>
      </c>
      <c r="Y40" s="2">
        <v>2024</v>
      </c>
      <c r="Z40" s="3">
        <v>6707</v>
      </c>
      <c r="AA40" s="3">
        <v>2929</v>
      </c>
      <c r="AB40" s="3">
        <v>9636</v>
      </c>
      <c r="AC40" s="3">
        <v>160</v>
      </c>
    </row>
    <row r="41" spans="2:29" x14ac:dyDescent="0.3">
      <c r="B41" s="2" t="s">
        <v>84</v>
      </c>
      <c r="C41" s="2">
        <v>2025</v>
      </c>
      <c r="D41" s="3">
        <v>6650</v>
      </c>
      <c r="E41" s="3">
        <v>154</v>
      </c>
      <c r="F41" s="7">
        <f t="shared" si="0"/>
        <v>211</v>
      </c>
      <c r="Q41" s="2" t="s">
        <v>84</v>
      </c>
      <c r="R41" s="2">
        <v>2025</v>
      </c>
      <c r="S41" s="3">
        <v>6650</v>
      </c>
      <c r="T41" s="3">
        <v>5281</v>
      </c>
      <c r="U41" s="3">
        <v>11931</v>
      </c>
      <c r="V41" s="3">
        <v>192</v>
      </c>
      <c r="X41" s="2" t="s">
        <v>84</v>
      </c>
      <c r="Y41" s="2">
        <v>2025</v>
      </c>
      <c r="Z41" s="3">
        <v>6650</v>
      </c>
      <c r="AA41" s="3">
        <v>2918</v>
      </c>
      <c r="AB41" s="3">
        <v>9568</v>
      </c>
      <c r="AC41" s="3">
        <v>177</v>
      </c>
    </row>
    <row r="42" spans="2:29" x14ac:dyDescent="0.3">
      <c r="B42" s="2" t="s">
        <v>85</v>
      </c>
      <c r="C42" s="2">
        <v>2025</v>
      </c>
      <c r="D42" s="3">
        <v>6631</v>
      </c>
      <c r="E42" s="3">
        <v>169</v>
      </c>
      <c r="F42" s="7">
        <f t="shared" si="0"/>
        <v>188</v>
      </c>
      <c r="Q42" s="2" t="s">
        <v>85</v>
      </c>
      <c r="R42" s="2">
        <v>2025</v>
      </c>
      <c r="S42" s="3">
        <v>6631</v>
      </c>
      <c r="T42" s="3">
        <v>5260</v>
      </c>
      <c r="U42" s="3">
        <v>11891</v>
      </c>
      <c r="V42" s="3">
        <v>198</v>
      </c>
      <c r="X42" s="2" t="s">
        <v>85</v>
      </c>
      <c r="Y42" s="2">
        <v>2025</v>
      </c>
      <c r="Z42" s="3">
        <v>6631</v>
      </c>
      <c r="AA42" s="3">
        <v>2915</v>
      </c>
      <c r="AB42" s="3">
        <v>9546</v>
      </c>
      <c r="AC42" s="3">
        <v>194</v>
      </c>
    </row>
    <row r="43" spans="2:29" x14ac:dyDescent="0.3">
      <c r="B43" s="2" t="s">
        <v>86</v>
      </c>
      <c r="C43" s="2">
        <v>2025</v>
      </c>
      <c r="D43" s="3">
        <v>6632</v>
      </c>
      <c r="E43" s="3">
        <v>175</v>
      </c>
      <c r="F43" s="7">
        <f t="shared" si="0"/>
        <v>174</v>
      </c>
      <c r="Q43" s="2" t="s">
        <v>86</v>
      </c>
      <c r="R43" s="2">
        <v>2025</v>
      </c>
      <c r="S43" s="3">
        <v>6632</v>
      </c>
      <c r="T43" s="3">
        <v>5238</v>
      </c>
      <c r="U43" s="3">
        <v>11870</v>
      </c>
      <c r="V43" s="3">
        <v>229</v>
      </c>
      <c r="X43" s="2" t="s">
        <v>86</v>
      </c>
      <c r="Y43" s="2">
        <v>2025</v>
      </c>
      <c r="Z43" s="3">
        <v>6632</v>
      </c>
      <c r="AA43" s="3">
        <v>2897</v>
      </c>
      <c r="AB43" s="3">
        <v>9529</v>
      </c>
      <c r="AC43" s="3">
        <v>203</v>
      </c>
    </row>
    <row r="44" spans="2:29" x14ac:dyDescent="0.3">
      <c r="B44" s="2" t="s">
        <v>87</v>
      </c>
      <c r="C44" s="2">
        <v>2025</v>
      </c>
      <c r="D44" s="3">
        <v>6693</v>
      </c>
      <c r="E44" s="3">
        <v>191</v>
      </c>
      <c r="F44" s="7">
        <f t="shared" si="0"/>
        <v>130</v>
      </c>
      <c r="Q44" s="2" t="s">
        <v>87</v>
      </c>
      <c r="R44" s="2">
        <v>2025</v>
      </c>
      <c r="S44" s="3">
        <v>6693</v>
      </c>
      <c r="T44" s="3">
        <v>5223</v>
      </c>
      <c r="U44" s="3">
        <v>11916</v>
      </c>
      <c r="V44" s="3">
        <v>240</v>
      </c>
      <c r="X44" s="2" t="s">
        <v>87</v>
      </c>
      <c r="Y44" s="2">
        <v>2025</v>
      </c>
      <c r="Z44" s="3">
        <v>6693</v>
      </c>
      <c r="AA44" s="3">
        <v>2894</v>
      </c>
      <c r="AB44" s="3">
        <v>9587</v>
      </c>
      <c r="AC44" s="3">
        <v>214</v>
      </c>
    </row>
    <row r="45" spans="2:29" x14ac:dyDescent="0.3">
      <c r="B45" s="2" t="s">
        <v>88</v>
      </c>
      <c r="C45" s="2">
        <v>2025</v>
      </c>
      <c r="D45" s="3">
        <v>6720</v>
      </c>
      <c r="E45" s="3">
        <v>195</v>
      </c>
      <c r="F45" s="7">
        <f t="shared" si="0"/>
        <v>168</v>
      </c>
      <c r="Q45" s="2" t="s">
        <v>88</v>
      </c>
      <c r="R45" s="2">
        <v>2025</v>
      </c>
      <c r="S45" s="3">
        <v>6720</v>
      </c>
      <c r="T45" s="3">
        <v>5242</v>
      </c>
      <c r="U45" s="3">
        <v>11962</v>
      </c>
      <c r="V45" s="3">
        <v>258</v>
      </c>
      <c r="X45" s="2" t="s">
        <v>88</v>
      </c>
      <c r="Y45" s="2">
        <v>2025</v>
      </c>
      <c r="Z45" s="3">
        <v>6720</v>
      </c>
      <c r="AA45" s="3">
        <v>2892</v>
      </c>
      <c r="AB45" s="3">
        <v>9612</v>
      </c>
      <c r="AC45" s="3">
        <v>219</v>
      </c>
    </row>
    <row r="46" spans="2:29" x14ac:dyDescent="0.3">
      <c r="B46" s="2" t="s">
        <v>89</v>
      </c>
      <c r="C46" s="2">
        <v>2025</v>
      </c>
      <c r="D46" s="3">
        <v>6750</v>
      </c>
      <c r="E46" s="3">
        <v>168</v>
      </c>
      <c r="F46" s="7">
        <f t="shared" si="0"/>
        <v>138</v>
      </c>
      <c r="Q46" s="2" t="s">
        <v>89</v>
      </c>
      <c r="R46" s="2">
        <v>2025</v>
      </c>
      <c r="S46" s="3">
        <v>6750</v>
      </c>
      <c r="T46" s="3">
        <v>5244</v>
      </c>
      <c r="U46" s="3">
        <v>11994</v>
      </c>
      <c r="V46" s="3">
        <v>233</v>
      </c>
      <c r="X46" s="2" t="s">
        <v>89</v>
      </c>
      <c r="Y46" s="2">
        <v>2025</v>
      </c>
      <c r="Z46" s="3">
        <v>6750</v>
      </c>
      <c r="AA46" s="3">
        <v>2899</v>
      </c>
      <c r="AB46" s="3">
        <v>9649</v>
      </c>
      <c r="AC46" s="3">
        <v>204</v>
      </c>
    </row>
    <row r="47" spans="2:29" x14ac:dyDescent="0.3">
      <c r="B47" s="2" t="s">
        <v>90</v>
      </c>
      <c r="C47" s="2">
        <v>2025</v>
      </c>
      <c r="D47" s="3">
        <v>6792</v>
      </c>
      <c r="E47" s="3">
        <v>205</v>
      </c>
      <c r="F47" s="7">
        <f t="shared" si="0"/>
        <v>163</v>
      </c>
      <c r="Q47" s="2" t="s">
        <v>90</v>
      </c>
      <c r="R47" s="2">
        <v>2025</v>
      </c>
      <c r="S47" s="3">
        <v>6792</v>
      </c>
      <c r="T47" s="3">
        <v>5238</v>
      </c>
      <c r="U47" s="3">
        <v>12030</v>
      </c>
      <c r="V47" s="3">
        <v>265</v>
      </c>
      <c r="X47" s="2" t="s">
        <v>90</v>
      </c>
      <c r="Y47" s="2">
        <v>2025</v>
      </c>
      <c r="Z47" s="3">
        <v>6792</v>
      </c>
      <c r="AA47" s="3">
        <v>2898</v>
      </c>
      <c r="AB47" s="3">
        <v>9690</v>
      </c>
      <c r="AC47" s="3">
        <v>237</v>
      </c>
    </row>
    <row r="48" spans="2:29" x14ac:dyDescent="0.3">
      <c r="B48" s="2" t="s">
        <v>91</v>
      </c>
      <c r="C48" s="2">
        <v>2025</v>
      </c>
      <c r="D48" s="3">
        <v>6816</v>
      </c>
      <c r="E48" s="3">
        <v>191</v>
      </c>
      <c r="F48" s="7">
        <f t="shared" si="0"/>
        <v>167</v>
      </c>
      <c r="Q48" s="2" t="s">
        <v>91</v>
      </c>
      <c r="R48" s="2">
        <v>2025</v>
      </c>
      <c r="S48" s="3">
        <v>6816</v>
      </c>
      <c r="T48" s="3">
        <v>5179</v>
      </c>
      <c r="U48" s="3">
        <v>11995</v>
      </c>
      <c r="V48" s="3">
        <v>230</v>
      </c>
      <c r="X48" s="2" t="s">
        <v>91</v>
      </c>
      <c r="Y48" s="2">
        <v>2025</v>
      </c>
      <c r="Z48" s="3">
        <v>6816</v>
      </c>
      <c r="AA48" s="3">
        <v>2864</v>
      </c>
      <c r="AB48" s="3">
        <v>9680</v>
      </c>
      <c r="AC48" s="3">
        <v>211</v>
      </c>
    </row>
    <row r="49" spans="2:29" x14ac:dyDescent="0.3">
      <c r="B49" s="2" t="s">
        <v>92</v>
      </c>
      <c r="C49" s="2">
        <v>2025</v>
      </c>
      <c r="D49" s="3">
        <v>6862</v>
      </c>
      <c r="E49" s="3">
        <v>186</v>
      </c>
      <c r="F49" s="7">
        <f t="shared" si="0"/>
        <v>140</v>
      </c>
      <c r="Q49" s="2" t="s">
        <v>92</v>
      </c>
      <c r="R49" s="2">
        <v>2025</v>
      </c>
      <c r="S49" s="3">
        <v>6862</v>
      </c>
      <c r="T49" s="3">
        <v>5185</v>
      </c>
      <c r="U49" s="3">
        <v>12047</v>
      </c>
      <c r="V49" s="3">
        <v>242</v>
      </c>
      <c r="X49" s="2" t="s">
        <v>92</v>
      </c>
      <c r="Y49" s="2">
        <v>2025</v>
      </c>
      <c r="Z49" s="3">
        <v>6862</v>
      </c>
      <c r="AA49" s="3">
        <v>2852</v>
      </c>
      <c r="AB49" s="3">
        <v>9714</v>
      </c>
      <c r="AC49" s="3">
        <v>206</v>
      </c>
    </row>
    <row r="50" spans="2:29" x14ac:dyDescent="0.3">
      <c r="B50" s="2" t="s">
        <v>93</v>
      </c>
      <c r="C50" s="2">
        <v>2025</v>
      </c>
      <c r="D50" s="3">
        <v>6895</v>
      </c>
      <c r="E50" s="3">
        <v>197</v>
      </c>
      <c r="F50" s="7">
        <f t="shared" si="0"/>
        <v>164</v>
      </c>
      <c r="Q50" s="2" t="s">
        <v>93</v>
      </c>
      <c r="R50" s="2">
        <v>2025</v>
      </c>
      <c r="S50" s="3">
        <v>6895</v>
      </c>
      <c r="T50" s="3">
        <v>5178</v>
      </c>
      <c r="U50" s="3">
        <v>12073</v>
      </c>
      <c r="V50" s="3">
        <v>254</v>
      </c>
      <c r="X50" s="2" t="s">
        <v>93</v>
      </c>
      <c r="Y50" s="2">
        <v>2025</v>
      </c>
      <c r="Z50" s="3">
        <v>6895</v>
      </c>
      <c r="AA50" s="3">
        <v>2837</v>
      </c>
      <c r="AB50" s="3">
        <v>9732</v>
      </c>
      <c r="AC50" s="3">
        <v>225</v>
      </c>
    </row>
    <row r="51" spans="2:29" x14ac:dyDescent="0.3">
      <c r="B51" s="2" t="s">
        <v>94</v>
      </c>
      <c r="C51" s="2">
        <v>2025</v>
      </c>
      <c r="D51" s="3">
        <v>6850</v>
      </c>
      <c r="E51" s="3">
        <v>126</v>
      </c>
      <c r="F51" s="7">
        <f t="shared" si="0"/>
        <v>171</v>
      </c>
      <c r="Q51" s="2" t="s">
        <v>94</v>
      </c>
      <c r="R51" s="2">
        <v>2025</v>
      </c>
      <c r="S51" s="3">
        <v>6850</v>
      </c>
      <c r="T51" s="3">
        <v>5185</v>
      </c>
      <c r="U51" s="3">
        <v>12035</v>
      </c>
      <c r="V51" s="3">
        <v>177</v>
      </c>
      <c r="X51" s="2" t="s">
        <v>94</v>
      </c>
      <c r="Y51" s="2">
        <v>2025</v>
      </c>
      <c r="Z51" s="3">
        <v>6850</v>
      </c>
      <c r="AA51" s="3">
        <v>2848</v>
      </c>
      <c r="AB51" s="3">
        <v>9698</v>
      </c>
      <c r="AC51" s="3">
        <v>152</v>
      </c>
    </row>
    <row r="52" spans="2:29" x14ac:dyDescent="0.3">
      <c r="B52" s="2" t="s">
        <v>95</v>
      </c>
      <c r="C52" s="2">
        <v>2025</v>
      </c>
      <c r="D52" s="3">
        <v>6825</v>
      </c>
      <c r="E52" s="3">
        <v>167</v>
      </c>
      <c r="F52" s="7">
        <f t="shared" si="0"/>
        <v>192</v>
      </c>
      <c r="Q52" s="2" t="s">
        <v>95</v>
      </c>
      <c r="R52" s="2">
        <v>2025</v>
      </c>
      <c r="S52" s="3">
        <v>6825</v>
      </c>
      <c r="T52" s="3">
        <v>5168</v>
      </c>
      <c r="U52" s="3">
        <v>11993</v>
      </c>
      <c r="V52" s="3">
        <v>222</v>
      </c>
      <c r="X52" s="2" t="s">
        <v>95</v>
      </c>
      <c r="Y52" s="2">
        <v>2025</v>
      </c>
      <c r="Z52" s="3">
        <v>6825</v>
      </c>
      <c r="AA52" s="3">
        <v>2821</v>
      </c>
      <c r="AB52" s="3">
        <v>9646</v>
      </c>
      <c r="AC52" s="3">
        <v>185</v>
      </c>
    </row>
    <row r="53" spans="2:29" x14ac:dyDescent="0.3">
      <c r="B53" s="2" t="s">
        <v>96</v>
      </c>
      <c r="C53" s="2">
        <v>2026</v>
      </c>
      <c r="D53" s="3">
        <v>6809</v>
      </c>
      <c r="E53" s="3">
        <v>175</v>
      </c>
      <c r="F53" s="7">
        <f t="shared" si="0"/>
        <v>191</v>
      </c>
      <c r="Q53" s="2" t="s">
        <v>96</v>
      </c>
      <c r="R53" s="2">
        <v>2026</v>
      </c>
      <c r="S53" s="3">
        <v>6809</v>
      </c>
      <c r="T53" s="3">
        <v>5139</v>
      </c>
      <c r="U53" s="3">
        <v>11948</v>
      </c>
      <c r="V53" s="3">
        <v>202</v>
      </c>
      <c r="X53" s="2" t="s">
        <v>96</v>
      </c>
      <c r="Y53" s="2">
        <v>2026</v>
      </c>
      <c r="Z53" s="3">
        <v>6809</v>
      </c>
      <c r="AA53" s="3">
        <v>2802</v>
      </c>
      <c r="AB53" s="3">
        <v>9611</v>
      </c>
      <c r="AC53" s="3">
        <v>183</v>
      </c>
    </row>
    <row r="54" spans="2:29" x14ac:dyDescent="0.3">
      <c r="B54" s="2" t="s">
        <v>97</v>
      </c>
      <c r="C54" s="2">
        <v>2026</v>
      </c>
      <c r="D54" s="3">
        <v>6719</v>
      </c>
      <c r="E54" s="3">
        <v>157</v>
      </c>
      <c r="F54" s="7">
        <f t="shared" si="0"/>
        <v>247</v>
      </c>
      <c r="Q54" s="2" t="s">
        <v>97</v>
      </c>
      <c r="R54" s="2">
        <v>2026</v>
      </c>
      <c r="S54" s="3">
        <v>6719</v>
      </c>
      <c r="T54" s="3">
        <v>5090</v>
      </c>
      <c r="U54" s="3">
        <v>11809</v>
      </c>
      <c r="V54" s="3">
        <v>208</v>
      </c>
      <c r="X54" s="2" t="s">
        <v>97</v>
      </c>
      <c r="Y54" s="2">
        <v>2026</v>
      </c>
      <c r="Z54" s="3">
        <v>6719</v>
      </c>
      <c r="AA54" s="3">
        <v>2759</v>
      </c>
      <c r="AB54" s="3">
        <v>9478</v>
      </c>
      <c r="AC54" s="3">
        <v>177</v>
      </c>
    </row>
    <row r="55" spans="2:29" x14ac:dyDescent="0.3">
      <c r="B55" s="2" t="s">
        <v>98</v>
      </c>
      <c r="C55" s="2">
        <v>2026</v>
      </c>
      <c r="D55" s="3">
        <v>6669</v>
      </c>
      <c r="E55" s="3">
        <v>165</v>
      </c>
      <c r="F55" s="7">
        <f t="shared" si="0"/>
        <v>215</v>
      </c>
      <c r="Q55" s="2" t="s">
        <v>98</v>
      </c>
      <c r="R55" s="2">
        <v>2026</v>
      </c>
      <c r="S55" s="3">
        <v>6669</v>
      </c>
      <c r="T55" s="3">
        <v>5060</v>
      </c>
      <c r="U55" s="3">
        <v>11729</v>
      </c>
      <c r="V55" s="3">
        <v>199</v>
      </c>
      <c r="X55" s="2" t="s">
        <v>98</v>
      </c>
      <c r="Y55" s="2">
        <v>2026</v>
      </c>
      <c r="Z55" s="3">
        <v>6669</v>
      </c>
      <c r="AA55" s="3">
        <v>2732</v>
      </c>
      <c r="AB55" s="3">
        <v>9401</v>
      </c>
      <c r="AC55" s="3">
        <v>178</v>
      </c>
    </row>
  </sheetData>
  <sheetProtection algorithmName="SHA-512" hashValue="09oT8qu+yjK/3gtY/pmnQsDSj9cbAHUbjKxOSXOsl+XbyOF+GNxyj0erSvX3QZPeteHCuGATydl2yM3mZ+HQsg==" saltValue="v7lCud8UptrBMlZcHBrh1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4F56E-3AFC-407F-B425-D2144F293F89}">
  <sheetPr>
    <tabColor theme="1"/>
  </sheetPr>
  <dimension ref="B3:Q55"/>
  <sheetViews>
    <sheetView zoomScaleNormal="100" workbookViewId="0"/>
  </sheetViews>
  <sheetFormatPr defaultRowHeight="13.8" x14ac:dyDescent="0.3"/>
  <cols>
    <col min="4" max="4" width="9.33203125" bestFit="1" customWidth="1"/>
    <col min="5" max="5" width="10" bestFit="1" customWidth="1"/>
    <col min="6" max="6" width="13.5546875" bestFit="1" customWidth="1"/>
    <col min="9" max="9" width="11" bestFit="1" customWidth="1"/>
    <col min="12" max="12" width="13.109375" bestFit="1" customWidth="1"/>
    <col min="13" max="13" width="14.5546875" bestFit="1" customWidth="1"/>
    <col min="15" max="15" width="10" bestFit="1" customWidth="1"/>
    <col min="17" max="17" width="12" bestFit="1" customWidth="1"/>
  </cols>
  <sheetData>
    <row r="3" spans="2:17" x14ac:dyDescent="0.3">
      <c r="B3" s="2" t="s">
        <v>39</v>
      </c>
      <c r="C3" s="2" t="s">
        <v>40</v>
      </c>
      <c r="D3" s="2" t="s">
        <v>99</v>
      </c>
      <c r="E3" s="2" t="s">
        <v>100</v>
      </c>
      <c r="F3" s="2" t="s">
        <v>101</v>
      </c>
      <c r="G3" s="2" t="s">
        <v>102</v>
      </c>
      <c r="H3" s="2" t="s">
        <v>103</v>
      </c>
      <c r="I3" s="2" t="s">
        <v>104</v>
      </c>
      <c r="J3" s="2" t="s">
        <v>105</v>
      </c>
      <c r="K3" s="2" t="s">
        <v>106</v>
      </c>
      <c r="L3" s="2" t="s">
        <v>107</v>
      </c>
      <c r="M3" s="2" t="s">
        <v>108</v>
      </c>
      <c r="N3" s="2" t="s">
        <v>109</v>
      </c>
      <c r="O3" s="2" t="s">
        <v>110</v>
      </c>
      <c r="P3" s="6" t="s">
        <v>111</v>
      </c>
      <c r="Q3" s="6" t="s">
        <v>112</v>
      </c>
    </row>
    <row r="4" spans="2:17" x14ac:dyDescent="0.3">
      <c r="B4" s="2" t="s">
        <v>48</v>
      </c>
      <c r="C4" s="2">
        <v>2022</v>
      </c>
      <c r="D4" s="3">
        <v>3924</v>
      </c>
      <c r="E4" s="3">
        <v>16659</v>
      </c>
      <c r="F4" s="16">
        <v>7880543.4500000002</v>
      </c>
      <c r="G4" s="3">
        <v>1930</v>
      </c>
      <c r="H4" s="3">
        <v>8867</v>
      </c>
      <c r="I4" s="16">
        <v>5288366.59</v>
      </c>
      <c r="J4" s="3">
        <v>114</v>
      </c>
      <c r="K4" s="3">
        <v>227</v>
      </c>
      <c r="L4" s="16">
        <v>215919.57</v>
      </c>
      <c r="M4" s="16">
        <v>13384829.609999999</v>
      </c>
      <c r="N4" s="3">
        <v>6742</v>
      </c>
      <c r="O4" s="15">
        <v>1985.2906570750517</v>
      </c>
      <c r="P4" s="45">
        <f>(D4+G4+J4)/N4</f>
        <v>0.88519727083951349</v>
      </c>
      <c r="Q4" s="48">
        <f>F4+I4+L4</f>
        <v>13384829.609999999</v>
      </c>
    </row>
    <row r="5" spans="2:17" x14ac:dyDescent="0.3">
      <c r="B5" s="2" t="s">
        <v>49</v>
      </c>
      <c r="C5" s="2">
        <v>2022</v>
      </c>
      <c r="D5" s="3">
        <v>3885</v>
      </c>
      <c r="E5" s="3">
        <v>14480</v>
      </c>
      <c r="F5" s="16">
        <v>7761507.6600000001</v>
      </c>
      <c r="G5" s="3">
        <v>1948</v>
      </c>
      <c r="H5" s="3">
        <v>7813</v>
      </c>
      <c r="I5" s="16">
        <v>5355727.25</v>
      </c>
      <c r="J5" s="3">
        <v>107</v>
      </c>
      <c r="K5" s="3">
        <v>206</v>
      </c>
      <c r="L5" s="16">
        <v>191680.79</v>
      </c>
      <c r="M5" s="16">
        <v>13308915.699999999</v>
      </c>
      <c r="N5" s="3">
        <v>6670</v>
      </c>
      <c r="O5" s="15">
        <v>1995.3396851574212</v>
      </c>
      <c r="P5" s="45">
        <f t="shared" ref="P5:P54" si="0">(D5+G5+J5)/N5</f>
        <v>0.89055472263868063</v>
      </c>
      <c r="Q5" s="48">
        <f t="shared" ref="Q5:Q54" si="1">F5+I5+L5</f>
        <v>13308915.699999999</v>
      </c>
    </row>
    <row r="6" spans="2:17" x14ac:dyDescent="0.3">
      <c r="B6" s="2" t="s">
        <v>50</v>
      </c>
      <c r="C6" s="2">
        <v>2022</v>
      </c>
      <c r="D6" s="3">
        <v>3932</v>
      </c>
      <c r="E6" s="3">
        <v>15857</v>
      </c>
      <c r="F6" s="16">
        <v>7294803.6100000003</v>
      </c>
      <c r="G6" s="3">
        <v>1987</v>
      </c>
      <c r="H6" s="3">
        <v>8513</v>
      </c>
      <c r="I6" s="16">
        <v>5040172.2300000004</v>
      </c>
      <c r="J6" s="3">
        <v>114</v>
      </c>
      <c r="K6" s="3">
        <v>226</v>
      </c>
      <c r="L6" s="16">
        <v>185893.91</v>
      </c>
      <c r="M6" s="16">
        <v>12520869.75</v>
      </c>
      <c r="N6" s="3">
        <v>6673</v>
      </c>
      <c r="O6" s="15">
        <v>1876.3479319646335</v>
      </c>
      <c r="P6" s="45">
        <f t="shared" si="0"/>
        <v>0.90409111344222992</v>
      </c>
      <c r="Q6" s="48">
        <f t="shared" si="1"/>
        <v>12520869.75</v>
      </c>
    </row>
    <row r="7" spans="2:17" x14ac:dyDescent="0.3">
      <c r="B7" s="2" t="s">
        <v>51</v>
      </c>
      <c r="C7" s="2">
        <v>2022</v>
      </c>
      <c r="D7" s="3">
        <v>3966</v>
      </c>
      <c r="E7" s="3">
        <v>15884</v>
      </c>
      <c r="F7" s="16">
        <v>7955586.7300000004</v>
      </c>
      <c r="G7" s="3">
        <v>2000</v>
      </c>
      <c r="H7" s="3">
        <v>8575</v>
      </c>
      <c r="I7" s="16">
        <v>5540881.8399999999</v>
      </c>
      <c r="J7" s="3">
        <v>116</v>
      </c>
      <c r="K7" s="3">
        <v>236</v>
      </c>
      <c r="L7" s="16">
        <v>211768.44</v>
      </c>
      <c r="M7" s="16">
        <v>13708237.01</v>
      </c>
      <c r="N7" s="3">
        <v>6605</v>
      </c>
      <c r="O7" s="15">
        <v>2075.4333096139289</v>
      </c>
      <c r="P7" s="45">
        <f t="shared" si="0"/>
        <v>0.92081756245268731</v>
      </c>
      <c r="Q7" s="48">
        <f t="shared" si="1"/>
        <v>13708237.01</v>
      </c>
    </row>
    <row r="8" spans="2:17" x14ac:dyDescent="0.3">
      <c r="B8" s="2" t="s">
        <v>52</v>
      </c>
      <c r="C8" s="2">
        <v>2022</v>
      </c>
      <c r="D8" s="3">
        <v>3960</v>
      </c>
      <c r="E8" s="3">
        <v>17934</v>
      </c>
      <c r="F8" s="16">
        <v>8018491.0199999996</v>
      </c>
      <c r="G8" s="3">
        <v>2008</v>
      </c>
      <c r="H8" s="3">
        <v>9972</v>
      </c>
      <c r="I8" s="16">
        <v>5557727.7199999997</v>
      </c>
      <c r="J8" s="3">
        <v>114</v>
      </c>
      <c r="K8" s="3">
        <v>237</v>
      </c>
      <c r="L8" s="16">
        <v>209925.74</v>
      </c>
      <c r="M8" s="16">
        <v>13786144.479999999</v>
      </c>
      <c r="N8" s="3">
        <v>6589</v>
      </c>
      <c r="O8" s="15">
        <v>2092.2969312490513</v>
      </c>
      <c r="P8" s="45">
        <f t="shared" si="0"/>
        <v>0.92305357413871603</v>
      </c>
      <c r="Q8" s="48">
        <f t="shared" si="1"/>
        <v>13786144.479999999</v>
      </c>
    </row>
    <row r="9" spans="2:17" x14ac:dyDescent="0.3">
      <c r="B9" s="2" t="s">
        <v>53</v>
      </c>
      <c r="C9" s="2">
        <v>2022</v>
      </c>
      <c r="D9" s="3">
        <v>3987</v>
      </c>
      <c r="E9" s="3">
        <v>16302</v>
      </c>
      <c r="F9" s="16">
        <v>8066647.9800000004</v>
      </c>
      <c r="G9" s="3">
        <v>2030</v>
      </c>
      <c r="H9" s="3">
        <v>9087</v>
      </c>
      <c r="I9" s="16">
        <v>5686085.3399999999</v>
      </c>
      <c r="J9" s="3">
        <v>118</v>
      </c>
      <c r="K9" s="3">
        <v>257</v>
      </c>
      <c r="L9" s="16">
        <v>219387.9</v>
      </c>
      <c r="M9" s="16">
        <v>13972121.220000001</v>
      </c>
      <c r="N9" s="3">
        <v>6608</v>
      </c>
      <c r="O9" s="15">
        <v>2114.4251240920098</v>
      </c>
      <c r="P9" s="45">
        <f t="shared" si="0"/>
        <v>0.9284200968523002</v>
      </c>
      <c r="Q9" s="48">
        <f t="shared" si="1"/>
        <v>13972121.220000001</v>
      </c>
    </row>
    <row r="10" spans="2:17" x14ac:dyDescent="0.3">
      <c r="B10" s="2" t="s">
        <v>54</v>
      </c>
      <c r="C10" s="2">
        <v>2022</v>
      </c>
      <c r="D10" s="3">
        <v>3951</v>
      </c>
      <c r="E10" s="3">
        <v>16157</v>
      </c>
      <c r="F10" s="16">
        <v>8097716.71</v>
      </c>
      <c r="G10" s="3">
        <v>2034</v>
      </c>
      <c r="H10" s="3">
        <v>8970</v>
      </c>
      <c r="I10" s="16">
        <v>5684543.75</v>
      </c>
      <c r="J10" s="3">
        <v>116</v>
      </c>
      <c r="K10" s="3">
        <v>248</v>
      </c>
      <c r="L10" s="16">
        <v>217935.4</v>
      </c>
      <c r="M10" s="16">
        <v>14000195.860000001</v>
      </c>
      <c r="N10" s="3">
        <v>6567</v>
      </c>
      <c r="O10" s="15">
        <v>2131.9013034871327</v>
      </c>
      <c r="P10" s="45">
        <f t="shared" si="0"/>
        <v>0.92903913506928582</v>
      </c>
      <c r="Q10" s="48">
        <f t="shared" si="1"/>
        <v>14000195.860000001</v>
      </c>
    </row>
    <row r="11" spans="2:17" x14ac:dyDescent="0.3">
      <c r="B11" s="2" t="s">
        <v>55</v>
      </c>
      <c r="C11" s="2">
        <v>2022</v>
      </c>
      <c r="D11" s="3">
        <v>3982</v>
      </c>
      <c r="E11" s="3">
        <v>16176</v>
      </c>
      <c r="F11" s="16">
        <v>8110217.9299999997</v>
      </c>
      <c r="G11" s="3">
        <v>2051</v>
      </c>
      <c r="H11" s="3">
        <v>8998</v>
      </c>
      <c r="I11" s="16">
        <v>5679666.6100000003</v>
      </c>
      <c r="J11" s="3">
        <v>111</v>
      </c>
      <c r="K11" s="3">
        <v>225</v>
      </c>
      <c r="L11" s="16">
        <v>207148.33</v>
      </c>
      <c r="M11" s="16">
        <v>13997032.869999999</v>
      </c>
      <c r="N11" s="3">
        <v>6617</v>
      </c>
      <c r="O11" s="15">
        <v>2115.314019948617</v>
      </c>
      <c r="P11" s="45">
        <f t="shared" si="0"/>
        <v>0.92851745504004835</v>
      </c>
      <c r="Q11" s="48">
        <f t="shared" si="1"/>
        <v>13997032.869999999</v>
      </c>
    </row>
    <row r="12" spans="2:17" x14ac:dyDescent="0.3">
      <c r="B12" s="2" t="s">
        <v>56</v>
      </c>
      <c r="C12" s="2">
        <v>2022</v>
      </c>
      <c r="D12" s="3">
        <v>4000</v>
      </c>
      <c r="E12" s="3">
        <v>16290</v>
      </c>
      <c r="F12" s="16">
        <v>8128833.79</v>
      </c>
      <c r="G12" s="3">
        <v>2068</v>
      </c>
      <c r="H12" s="3">
        <v>9015</v>
      </c>
      <c r="I12" s="16">
        <v>5727994.9500000002</v>
      </c>
      <c r="J12" s="3">
        <v>124</v>
      </c>
      <c r="K12" s="3">
        <v>242</v>
      </c>
      <c r="L12" s="16">
        <v>223611.24</v>
      </c>
      <c r="M12" s="16">
        <v>14080439.98</v>
      </c>
      <c r="N12" s="3">
        <v>6582</v>
      </c>
      <c r="O12" s="15">
        <v>2139.2342722576727</v>
      </c>
      <c r="P12" s="45">
        <f t="shared" si="0"/>
        <v>0.9407474931631723</v>
      </c>
      <c r="Q12" s="48">
        <f t="shared" si="1"/>
        <v>14080439.98</v>
      </c>
    </row>
    <row r="13" spans="2:17" x14ac:dyDescent="0.3">
      <c r="B13" s="2" t="s">
        <v>57</v>
      </c>
      <c r="C13" s="2">
        <v>2022</v>
      </c>
      <c r="D13" s="3">
        <v>4019</v>
      </c>
      <c r="E13" s="3">
        <v>18287</v>
      </c>
      <c r="F13" s="16">
        <v>8153809.9000000004</v>
      </c>
      <c r="G13" s="3">
        <v>2127</v>
      </c>
      <c r="H13" s="3">
        <v>10472</v>
      </c>
      <c r="I13" s="16">
        <v>5840262.0199999996</v>
      </c>
      <c r="J13" s="3">
        <v>129</v>
      </c>
      <c r="K13" s="3">
        <v>267</v>
      </c>
      <c r="L13" s="16">
        <v>247078.88</v>
      </c>
      <c r="M13" s="16">
        <v>14241150.800000001</v>
      </c>
      <c r="N13" s="3">
        <v>6604</v>
      </c>
      <c r="O13" s="15">
        <v>2156.4431859479105</v>
      </c>
      <c r="P13" s="45">
        <f t="shared" si="0"/>
        <v>0.95018170805572377</v>
      </c>
      <c r="Q13" s="48">
        <f t="shared" si="1"/>
        <v>14241150.800000001</v>
      </c>
    </row>
    <row r="14" spans="2:17" x14ac:dyDescent="0.3">
      <c r="B14" s="2" t="s">
        <v>58</v>
      </c>
      <c r="C14" s="2">
        <v>2022</v>
      </c>
      <c r="D14" s="3">
        <v>3910</v>
      </c>
      <c r="E14" s="3">
        <v>16123</v>
      </c>
      <c r="F14" s="16">
        <v>7944217.8399999999</v>
      </c>
      <c r="G14" s="3">
        <v>2131</v>
      </c>
      <c r="H14" s="3">
        <v>9297</v>
      </c>
      <c r="I14" s="16">
        <v>5879061.4199999999</v>
      </c>
      <c r="J14" s="3">
        <v>122</v>
      </c>
      <c r="K14" s="3">
        <v>222</v>
      </c>
      <c r="L14" s="16">
        <v>233438.98</v>
      </c>
      <c r="M14" s="16">
        <v>14056718.24</v>
      </c>
      <c r="N14" s="3">
        <v>6640</v>
      </c>
      <c r="O14" s="15">
        <v>2116.9756385542169</v>
      </c>
      <c r="P14" s="45">
        <f t="shared" si="0"/>
        <v>0.92816265060240966</v>
      </c>
      <c r="Q14" s="48">
        <f t="shared" si="1"/>
        <v>14056718.24</v>
      </c>
    </row>
    <row r="15" spans="2:17" x14ac:dyDescent="0.3">
      <c r="B15" s="2" t="s">
        <v>59</v>
      </c>
      <c r="C15" s="2">
        <v>2022</v>
      </c>
      <c r="D15" s="3">
        <v>3912</v>
      </c>
      <c r="E15" s="3">
        <v>16024</v>
      </c>
      <c r="F15" s="16">
        <v>7954131.2999999998</v>
      </c>
      <c r="G15" s="3">
        <v>2139</v>
      </c>
      <c r="H15" s="3">
        <v>9300</v>
      </c>
      <c r="I15" s="16">
        <v>5909088.71</v>
      </c>
      <c r="J15" s="3">
        <v>120</v>
      </c>
      <c r="K15" s="3">
        <v>223</v>
      </c>
      <c r="L15" s="16">
        <v>227461.84</v>
      </c>
      <c r="M15" s="16">
        <v>14090681.85</v>
      </c>
      <c r="N15" s="3">
        <v>6625</v>
      </c>
      <c r="O15" s="15">
        <v>2126.8953735849054</v>
      </c>
      <c r="P15" s="45">
        <f t="shared" si="0"/>
        <v>0.93147169811320751</v>
      </c>
      <c r="Q15" s="48">
        <f t="shared" si="1"/>
        <v>14090681.85</v>
      </c>
    </row>
    <row r="16" spans="2:17" x14ac:dyDescent="0.3">
      <c r="B16" s="2" t="s">
        <v>60</v>
      </c>
      <c r="C16" s="2">
        <v>2023</v>
      </c>
      <c r="D16" s="3">
        <v>3898</v>
      </c>
      <c r="E16" s="3">
        <v>18048</v>
      </c>
      <c r="F16" s="16">
        <v>7876578.3899999997</v>
      </c>
      <c r="G16" s="3">
        <v>2156</v>
      </c>
      <c r="H16" s="3">
        <v>10758</v>
      </c>
      <c r="I16" s="16">
        <v>5959572.7199999997</v>
      </c>
      <c r="J16" s="3">
        <v>118</v>
      </c>
      <c r="K16" s="3">
        <v>215</v>
      </c>
      <c r="L16" s="16">
        <v>221115.61</v>
      </c>
      <c r="M16" s="16">
        <v>14057266.719999999</v>
      </c>
      <c r="N16" s="3">
        <v>6610</v>
      </c>
      <c r="O16" s="15">
        <v>2126.6666747352492</v>
      </c>
      <c r="P16" s="45">
        <f t="shared" si="0"/>
        <v>0.93373676248108928</v>
      </c>
      <c r="Q16" s="48">
        <f t="shared" si="1"/>
        <v>14057266.719999999</v>
      </c>
    </row>
    <row r="17" spans="2:17" x14ac:dyDescent="0.3">
      <c r="B17" s="2" t="s">
        <v>61</v>
      </c>
      <c r="C17" s="2">
        <v>2023</v>
      </c>
      <c r="D17" s="3">
        <v>3919</v>
      </c>
      <c r="E17" s="3">
        <v>15761</v>
      </c>
      <c r="F17" s="16">
        <v>7848232.4100000001</v>
      </c>
      <c r="G17" s="3">
        <v>2154</v>
      </c>
      <c r="H17" s="3">
        <v>9368</v>
      </c>
      <c r="I17" s="16">
        <v>5988315.7999999998</v>
      </c>
      <c r="J17" s="3">
        <v>114</v>
      </c>
      <c r="K17" s="3">
        <v>188</v>
      </c>
      <c r="L17" s="16">
        <v>214300.52</v>
      </c>
      <c r="M17" s="16">
        <v>14050848.73</v>
      </c>
      <c r="N17" s="3">
        <v>6613</v>
      </c>
      <c r="O17" s="15">
        <v>2124.7313972478451</v>
      </c>
      <c r="P17" s="45">
        <f t="shared" si="0"/>
        <v>0.93558143051565101</v>
      </c>
      <c r="Q17" s="48">
        <f t="shared" si="1"/>
        <v>14050848.73</v>
      </c>
    </row>
    <row r="18" spans="2:17" x14ac:dyDescent="0.3">
      <c r="B18" s="2" t="s">
        <v>62</v>
      </c>
      <c r="C18" s="2">
        <v>2023</v>
      </c>
      <c r="D18" s="3">
        <v>3944</v>
      </c>
      <c r="E18" s="3">
        <v>16470</v>
      </c>
      <c r="F18" s="16">
        <v>7960615.3499999996</v>
      </c>
      <c r="G18" s="3">
        <v>2191</v>
      </c>
      <c r="H18" s="3">
        <v>9743</v>
      </c>
      <c r="I18" s="16">
        <v>6025392.6699999999</v>
      </c>
      <c r="J18" s="3">
        <v>119</v>
      </c>
      <c r="K18" s="3">
        <v>265</v>
      </c>
      <c r="L18" s="16">
        <v>226340.1</v>
      </c>
      <c r="M18" s="16">
        <v>14212348.119999999</v>
      </c>
      <c r="N18" s="3">
        <v>6647</v>
      </c>
      <c r="O18" s="15">
        <v>2138.159789378667</v>
      </c>
      <c r="P18" s="45">
        <f t="shared" si="0"/>
        <v>0.94087558296976082</v>
      </c>
      <c r="Q18" s="48">
        <f t="shared" si="1"/>
        <v>14212348.119999999</v>
      </c>
    </row>
    <row r="19" spans="2:17" x14ac:dyDescent="0.3">
      <c r="B19" s="2" t="s">
        <v>63</v>
      </c>
      <c r="C19" s="2">
        <v>2023</v>
      </c>
      <c r="D19" s="3">
        <v>3986</v>
      </c>
      <c r="E19" s="3">
        <v>16287</v>
      </c>
      <c r="F19" s="16">
        <v>8042475.7599999998</v>
      </c>
      <c r="G19" s="3">
        <v>2219</v>
      </c>
      <c r="H19" s="3">
        <v>9589</v>
      </c>
      <c r="I19" s="16">
        <v>6096200.9800000004</v>
      </c>
      <c r="J19" s="3">
        <v>117</v>
      </c>
      <c r="K19" s="3">
        <v>255</v>
      </c>
      <c r="L19" s="16">
        <v>217059.08</v>
      </c>
      <c r="M19" s="16">
        <v>14355735.82</v>
      </c>
      <c r="N19" s="3">
        <v>6625</v>
      </c>
      <c r="O19" s="15">
        <v>2166.9035199999998</v>
      </c>
      <c r="P19" s="45">
        <f t="shared" si="0"/>
        <v>0.95426415094339623</v>
      </c>
      <c r="Q19" s="48">
        <f t="shared" si="1"/>
        <v>14355735.82</v>
      </c>
    </row>
    <row r="20" spans="2:17" x14ac:dyDescent="0.3">
      <c r="B20" s="2" t="s">
        <v>64</v>
      </c>
      <c r="C20" s="2">
        <v>2023</v>
      </c>
      <c r="D20" s="3">
        <v>4008</v>
      </c>
      <c r="E20" s="3">
        <v>16402</v>
      </c>
      <c r="F20" s="16">
        <v>8117982.4800000004</v>
      </c>
      <c r="G20" s="3">
        <v>2213</v>
      </c>
      <c r="H20" s="3">
        <v>9768</v>
      </c>
      <c r="I20" s="16">
        <v>6124460.8399999999</v>
      </c>
      <c r="J20" s="3">
        <v>118</v>
      </c>
      <c r="K20" s="3">
        <v>236</v>
      </c>
      <c r="L20" s="16">
        <v>218733.73</v>
      </c>
      <c r="M20" s="16">
        <v>14461177.050000001</v>
      </c>
      <c r="N20" s="3">
        <v>6686</v>
      </c>
      <c r="O20" s="15">
        <v>2162.9041355070299</v>
      </c>
      <c r="P20" s="45">
        <f t="shared" si="0"/>
        <v>0.94810050852527672</v>
      </c>
      <c r="Q20" s="48">
        <f t="shared" si="1"/>
        <v>14461177.050000001</v>
      </c>
    </row>
    <row r="21" spans="2:17" x14ac:dyDescent="0.3">
      <c r="B21" s="2" t="s">
        <v>65</v>
      </c>
      <c r="C21" s="2">
        <v>2023</v>
      </c>
      <c r="D21" s="3">
        <v>3955</v>
      </c>
      <c r="E21" s="3">
        <v>17192</v>
      </c>
      <c r="F21" s="16">
        <v>8053240.0099999998</v>
      </c>
      <c r="G21" s="3">
        <v>2245</v>
      </c>
      <c r="H21" s="3">
        <v>10657</v>
      </c>
      <c r="I21" s="16">
        <v>6167188.8499999996</v>
      </c>
      <c r="J21" s="3">
        <v>114</v>
      </c>
      <c r="K21" s="3">
        <v>239</v>
      </c>
      <c r="L21" s="16">
        <v>213247.01</v>
      </c>
      <c r="M21" s="16">
        <v>14433675.869999999</v>
      </c>
      <c r="N21" s="3">
        <v>6696</v>
      </c>
      <c r="O21" s="15">
        <v>2155.5668862007169</v>
      </c>
      <c r="P21" s="45">
        <f t="shared" si="0"/>
        <v>0.94295101553166072</v>
      </c>
      <c r="Q21" s="48">
        <f t="shared" si="1"/>
        <v>14433675.869999999</v>
      </c>
    </row>
    <row r="22" spans="2:17" x14ac:dyDescent="0.3">
      <c r="B22" s="2" t="s">
        <v>66</v>
      </c>
      <c r="C22" s="2">
        <v>2023</v>
      </c>
      <c r="D22" s="3">
        <v>3979</v>
      </c>
      <c r="E22" s="3">
        <v>18034</v>
      </c>
      <c r="F22" s="16">
        <v>8083651.8899999997</v>
      </c>
      <c r="G22" s="3">
        <v>2236</v>
      </c>
      <c r="H22" s="3">
        <v>11037</v>
      </c>
      <c r="I22" s="16">
        <v>6162794.3499999996</v>
      </c>
      <c r="J22" s="3">
        <v>114</v>
      </c>
      <c r="K22" s="3">
        <v>224</v>
      </c>
      <c r="L22" s="16">
        <v>212659.67</v>
      </c>
      <c r="M22" s="16">
        <v>14459105.909999998</v>
      </c>
      <c r="N22" s="3">
        <v>6712</v>
      </c>
      <c r="O22" s="15">
        <v>2154.2172094755661</v>
      </c>
      <c r="P22" s="45">
        <f t="shared" si="0"/>
        <v>0.94293802145411199</v>
      </c>
      <c r="Q22" s="48">
        <f t="shared" si="1"/>
        <v>14459105.909999998</v>
      </c>
    </row>
    <row r="23" spans="2:17" x14ac:dyDescent="0.3">
      <c r="B23" s="2" t="s">
        <v>67</v>
      </c>
      <c r="C23" s="2">
        <v>2023</v>
      </c>
      <c r="D23" s="3">
        <v>4065</v>
      </c>
      <c r="E23" s="3">
        <v>16620</v>
      </c>
      <c r="F23" s="16">
        <v>8168031.8300000001</v>
      </c>
      <c r="G23" s="3">
        <v>2262</v>
      </c>
      <c r="H23" s="3">
        <v>9921</v>
      </c>
      <c r="I23" s="16">
        <v>6172471.1299999999</v>
      </c>
      <c r="J23" s="3">
        <v>123</v>
      </c>
      <c r="K23" s="3">
        <v>273</v>
      </c>
      <c r="L23" s="16">
        <v>234879.53</v>
      </c>
      <c r="M23" s="16">
        <v>14575382.49</v>
      </c>
      <c r="N23" s="3">
        <v>6719</v>
      </c>
      <c r="O23" s="15">
        <v>2169.2785369846702</v>
      </c>
      <c r="P23" s="45">
        <f t="shared" si="0"/>
        <v>0.95996428039886883</v>
      </c>
      <c r="Q23" s="48">
        <f t="shared" si="1"/>
        <v>14575382.49</v>
      </c>
    </row>
    <row r="24" spans="2:17" x14ac:dyDescent="0.3">
      <c r="B24" s="2" t="s">
        <v>68</v>
      </c>
      <c r="C24" s="2">
        <v>2023</v>
      </c>
      <c r="D24" s="3">
        <v>4017</v>
      </c>
      <c r="E24" s="3">
        <v>16231</v>
      </c>
      <c r="F24" s="16">
        <v>8153633.9299999997</v>
      </c>
      <c r="G24" s="3">
        <v>2233</v>
      </c>
      <c r="H24" s="3">
        <v>9828</v>
      </c>
      <c r="I24" s="16">
        <v>6152821.0199999996</v>
      </c>
      <c r="J24" s="3">
        <v>122</v>
      </c>
      <c r="K24" s="3">
        <v>264</v>
      </c>
      <c r="L24" s="16">
        <v>224813.35</v>
      </c>
      <c r="M24" s="16">
        <v>14531268.299999999</v>
      </c>
      <c r="N24" s="3">
        <v>6698</v>
      </c>
      <c r="O24" s="15">
        <v>2169.4936249626753</v>
      </c>
      <c r="P24" s="45">
        <f t="shared" si="0"/>
        <v>0.9513287548521947</v>
      </c>
      <c r="Q24" s="48">
        <f t="shared" si="1"/>
        <v>14531268.299999999</v>
      </c>
    </row>
    <row r="25" spans="2:17" x14ac:dyDescent="0.3">
      <c r="B25" s="2" t="s">
        <v>69</v>
      </c>
      <c r="C25" s="2">
        <v>2023</v>
      </c>
      <c r="D25" s="3">
        <v>3997</v>
      </c>
      <c r="E25" s="3">
        <v>18272</v>
      </c>
      <c r="F25" s="16">
        <v>8156548.5199999996</v>
      </c>
      <c r="G25" s="3">
        <v>2230</v>
      </c>
      <c r="H25" s="3">
        <v>11228</v>
      </c>
      <c r="I25" s="16">
        <v>6140169.1500000004</v>
      </c>
      <c r="J25" s="3">
        <v>113</v>
      </c>
      <c r="K25" s="3">
        <v>246</v>
      </c>
      <c r="L25" s="16">
        <v>212794.78</v>
      </c>
      <c r="M25" s="16">
        <v>14509512.449999999</v>
      </c>
      <c r="N25" s="3">
        <v>6711</v>
      </c>
      <c r="O25" s="15">
        <v>2162.0492400536432</v>
      </c>
      <c r="P25" s="45">
        <f t="shared" si="0"/>
        <v>0.94471762777529433</v>
      </c>
      <c r="Q25" s="48">
        <f t="shared" si="1"/>
        <v>14509512.449999999</v>
      </c>
    </row>
    <row r="26" spans="2:17" x14ac:dyDescent="0.3">
      <c r="B26" s="2" t="s">
        <v>70</v>
      </c>
      <c r="C26" s="2">
        <v>2023</v>
      </c>
      <c r="D26" s="3">
        <v>3983</v>
      </c>
      <c r="E26" s="3">
        <v>16403</v>
      </c>
      <c r="F26" s="16">
        <v>8106292.4000000004</v>
      </c>
      <c r="G26" s="3">
        <v>2230</v>
      </c>
      <c r="H26" s="3">
        <v>9964</v>
      </c>
      <c r="I26" s="16">
        <v>6148933.3499999996</v>
      </c>
      <c r="J26" s="3">
        <v>111</v>
      </c>
      <c r="K26" s="3">
        <v>204</v>
      </c>
      <c r="L26" s="16">
        <v>209945.28</v>
      </c>
      <c r="M26" s="16">
        <v>14465171.029999999</v>
      </c>
      <c r="N26" s="3">
        <v>6700</v>
      </c>
      <c r="O26" s="15">
        <v>2158.9807507462688</v>
      </c>
      <c r="P26" s="45">
        <f t="shared" si="0"/>
        <v>0.94388059701492533</v>
      </c>
      <c r="Q26" s="48">
        <f t="shared" si="1"/>
        <v>14465171.029999999</v>
      </c>
    </row>
    <row r="27" spans="2:17" x14ac:dyDescent="0.3">
      <c r="B27" s="2" t="s">
        <v>71</v>
      </c>
      <c r="C27" s="2">
        <v>2023</v>
      </c>
      <c r="D27" s="3">
        <v>3946</v>
      </c>
      <c r="E27" s="3">
        <v>17235</v>
      </c>
      <c r="F27" s="16">
        <v>8009354.8799999999</v>
      </c>
      <c r="G27" s="3">
        <v>2205</v>
      </c>
      <c r="H27" s="3">
        <v>10678</v>
      </c>
      <c r="I27" s="16">
        <v>6034917.4500000002</v>
      </c>
      <c r="J27" s="3">
        <v>110</v>
      </c>
      <c r="K27" s="3">
        <v>243</v>
      </c>
      <c r="L27" s="16">
        <v>207420.92</v>
      </c>
      <c r="M27" s="16">
        <v>14251693.25</v>
      </c>
      <c r="N27" s="3">
        <v>6633</v>
      </c>
      <c r="O27" s="15">
        <v>2148.6044399216039</v>
      </c>
      <c r="P27" s="45">
        <f t="shared" si="0"/>
        <v>0.94391677973767529</v>
      </c>
      <c r="Q27" s="48">
        <f t="shared" si="1"/>
        <v>14251693.25</v>
      </c>
    </row>
    <row r="28" spans="2:17" x14ac:dyDescent="0.3">
      <c r="B28" s="2" t="s">
        <v>72</v>
      </c>
      <c r="C28" s="2">
        <v>2024</v>
      </c>
      <c r="D28" s="3">
        <v>3982</v>
      </c>
      <c r="E28" s="3">
        <v>16163</v>
      </c>
      <c r="F28" s="16">
        <v>8081689.9400000004</v>
      </c>
      <c r="G28" s="3">
        <v>2185</v>
      </c>
      <c r="H28" s="3">
        <v>9465</v>
      </c>
      <c r="I28" s="16">
        <v>5998552.8399999999</v>
      </c>
      <c r="J28" s="3">
        <v>117</v>
      </c>
      <c r="K28" s="3">
        <v>255</v>
      </c>
      <c r="L28" s="16">
        <v>213977.91</v>
      </c>
      <c r="M28" s="16">
        <v>14294220.690000001</v>
      </c>
      <c r="N28" s="3">
        <v>6625</v>
      </c>
      <c r="O28" s="15">
        <v>2157.6182173584907</v>
      </c>
      <c r="P28" s="45">
        <f t="shared" si="0"/>
        <v>0.94852830188679249</v>
      </c>
      <c r="Q28" s="48">
        <f t="shared" si="1"/>
        <v>14294220.690000001</v>
      </c>
    </row>
    <row r="29" spans="2:17" x14ac:dyDescent="0.3">
      <c r="B29" s="2" t="s">
        <v>73</v>
      </c>
      <c r="C29" s="2">
        <v>2024</v>
      </c>
      <c r="D29" s="3">
        <v>4002</v>
      </c>
      <c r="E29" s="3">
        <v>16258</v>
      </c>
      <c r="F29" s="16">
        <v>8122192.1200000001</v>
      </c>
      <c r="G29" s="3">
        <v>2200</v>
      </c>
      <c r="H29" s="3">
        <v>9627</v>
      </c>
      <c r="I29" s="16">
        <v>5993709.0599999996</v>
      </c>
      <c r="J29" s="3">
        <v>120</v>
      </c>
      <c r="K29" s="3">
        <v>263</v>
      </c>
      <c r="L29" s="16">
        <v>210595.68</v>
      </c>
      <c r="M29" s="16">
        <v>14326496.859999999</v>
      </c>
      <c r="N29" s="3">
        <v>6600</v>
      </c>
      <c r="O29" s="15">
        <v>2170.6813424242423</v>
      </c>
      <c r="P29" s="45">
        <f t="shared" si="0"/>
        <v>0.95787878787878789</v>
      </c>
      <c r="Q29" s="48">
        <f t="shared" si="1"/>
        <v>14326496.859999999</v>
      </c>
    </row>
    <row r="30" spans="2:17" x14ac:dyDescent="0.3">
      <c r="B30" s="2" t="s">
        <v>74</v>
      </c>
      <c r="C30" s="2">
        <v>2024</v>
      </c>
      <c r="D30" s="3">
        <v>4016</v>
      </c>
      <c r="E30" s="3">
        <v>16502</v>
      </c>
      <c r="F30" s="16">
        <v>8203395.9000000004</v>
      </c>
      <c r="G30" s="3">
        <v>2211</v>
      </c>
      <c r="H30" s="3">
        <v>9876</v>
      </c>
      <c r="I30" s="16">
        <v>6039011.0800000001</v>
      </c>
      <c r="J30" s="3">
        <v>114</v>
      </c>
      <c r="K30" s="3">
        <v>258</v>
      </c>
      <c r="L30" s="16">
        <v>210680.69</v>
      </c>
      <c r="M30" s="16">
        <v>14453087.67</v>
      </c>
      <c r="N30" s="3">
        <v>6599</v>
      </c>
      <c r="O30" s="15">
        <v>2190.1936156993484</v>
      </c>
      <c r="P30" s="45">
        <f t="shared" si="0"/>
        <v>0.96090316714653734</v>
      </c>
      <c r="Q30" s="48">
        <f t="shared" si="1"/>
        <v>14453087.67</v>
      </c>
    </row>
    <row r="31" spans="2:17" x14ac:dyDescent="0.3">
      <c r="B31" s="2" t="s">
        <v>75</v>
      </c>
      <c r="C31" s="2">
        <v>2024</v>
      </c>
      <c r="D31" s="3">
        <v>4051</v>
      </c>
      <c r="E31" s="3">
        <v>16287</v>
      </c>
      <c r="F31" s="16">
        <v>8202141.71</v>
      </c>
      <c r="G31" s="3">
        <v>2203</v>
      </c>
      <c r="H31" s="3">
        <v>9784</v>
      </c>
      <c r="I31" s="16">
        <v>6089466.4299999997</v>
      </c>
      <c r="J31" s="3">
        <v>116</v>
      </c>
      <c r="K31" s="3">
        <v>247</v>
      </c>
      <c r="L31" s="16">
        <v>203711.42</v>
      </c>
      <c r="M31" s="16">
        <v>14495319.560000001</v>
      </c>
      <c r="N31" s="3">
        <v>6658</v>
      </c>
      <c r="O31" s="15">
        <v>2177.1282006608594</v>
      </c>
      <c r="P31" s="45">
        <f t="shared" si="0"/>
        <v>0.95674376689696605</v>
      </c>
      <c r="Q31" s="48">
        <f t="shared" si="1"/>
        <v>14495319.560000001</v>
      </c>
    </row>
    <row r="32" spans="2:17" x14ac:dyDescent="0.3">
      <c r="B32" s="2" t="s">
        <v>76</v>
      </c>
      <c r="C32" s="2">
        <v>2024</v>
      </c>
      <c r="D32" s="3">
        <v>4031</v>
      </c>
      <c r="E32" s="3">
        <v>16758</v>
      </c>
      <c r="F32" s="16">
        <v>8252955.5499999998</v>
      </c>
      <c r="G32" s="3">
        <v>2210</v>
      </c>
      <c r="H32" s="3">
        <v>9969</v>
      </c>
      <c r="I32" s="16">
        <v>6016285.5700000003</v>
      </c>
      <c r="J32" s="3">
        <v>124</v>
      </c>
      <c r="K32" s="3">
        <v>314</v>
      </c>
      <c r="L32" s="16">
        <v>218207.49</v>
      </c>
      <c r="M32" s="16">
        <v>14487448.610000001</v>
      </c>
      <c r="N32" s="3">
        <v>6659</v>
      </c>
      <c r="O32" s="15">
        <v>2175.6192536416879</v>
      </c>
      <c r="P32" s="45">
        <f t="shared" si="0"/>
        <v>0.95584922661060223</v>
      </c>
      <c r="Q32" s="48">
        <f t="shared" si="1"/>
        <v>14487448.610000001</v>
      </c>
    </row>
    <row r="33" spans="2:17" x14ac:dyDescent="0.3">
      <c r="B33" s="2" t="s">
        <v>77</v>
      </c>
      <c r="C33" s="2">
        <v>2024</v>
      </c>
      <c r="D33" s="3">
        <v>4020</v>
      </c>
      <c r="E33" s="3">
        <v>15739</v>
      </c>
      <c r="F33" s="16">
        <v>8183763.6299999999</v>
      </c>
      <c r="G33" s="3">
        <v>2198</v>
      </c>
      <c r="H33" s="3">
        <v>9440</v>
      </c>
      <c r="I33" s="16">
        <v>6023212.1900000004</v>
      </c>
      <c r="J33" s="3">
        <v>129</v>
      </c>
      <c r="K33" s="3">
        <v>237</v>
      </c>
      <c r="L33" s="16">
        <v>214902.86</v>
      </c>
      <c r="M33" s="16">
        <v>14421878.68</v>
      </c>
      <c r="N33" s="3">
        <v>6636</v>
      </c>
      <c r="O33" s="15">
        <v>2173.278884870404</v>
      </c>
      <c r="P33" s="45">
        <f t="shared" si="0"/>
        <v>0.95644966847498492</v>
      </c>
      <c r="Q33" s="48">
        <f t="shared" si="1"/>
        <v>14421878.68</v>
      </c>
    </row>
    <row r="34" spans="2:17" x14ac:dyDescent="0.3">
      <c r="B34" s="2" t="s">
        <v>78</v>
      </c>
      <c r="C34" s="2">
        <v>2024</v>
      </c>
      <c r="D34" s="3">
        <v>3866</v>
      </c>
      <c r="E34" s="3">
        <v>15588</v>
      </c>
      <c r="F34" s="16">
        <v>7896936.9199999999</v>
      </c>
      <c r="G34" s="3">
        <v>2185</v>
      </c>
      <c r="H34" s="3">
        <v>9674</v>
      </c>
      <c r="I34" s="16">
        <v>5967655.2000000002</v>
      </c>
      <c r="J34" s="3">
        <v>142</v>
      </c>
      <c r="K34" s="3">
        <v>245</v>
      </c>
      <c r="L34" s="16">
        <v>252402.04</v>
      </c>
      <c r="M34" s="16">
        <v>14116994.16</v>
      </c>
      <c r="N34" s="3">
        <v>6687</v>
      </c>
      <c r="O34" s="15">
        <v>2111.110237774787</v>
      </c>
      <c r="P34" s="45">
        <f t="shared" si="0"/>
        <v>0.92612531778076868</v>
      </c>
      <c r="Q34" s="48">
        <f t="shared" si="1"/>
        <v>14116994.16</v>
      </c>
    </row>
    <row r="35" spans="2:17" x14ac:dyDescent="0.3">
      <c r="B35" s="2" t="s">
        <v>79</v>
      </c>
      <c r="C35" s="2">
        <v>2024</v>
      </c>
      <c r="D35" s="3">
        <v>3942</v>
      </c>
      <c r="E35" s="3">
        <v>15930</v>
      </c>
      <c r="F35" s="16">
        <v>7967923.0099999998</v>
      </c>
      <c r="G35" s="3">
        <v>2210</v>
      </c>
      <c r="H35" s="3">
        <v>9883</v>
      </c>
      <c r="I35" s="16">
        <v>6020521.25</v>
      </c>
      <c r="J35" s="3">
        <v>149</v>
      </c>
      <c r="K35" s="3">
        <v>290</v>
      </c>
      <c r="L35" s="16">
        <v>253318.81</v>
      </c>
      <c r="M35" s="16">
        <v>14241763.07</v>
      </c>
      <c r="N35" s="3">
        <v>6691</v>
      </c>
      <c r="O35" s="15">
        <v>2128.4954520998358</v>
      </c>
      <c r="P35" s="45">
        <f t="shared" si="0"/>
        <v>0.9417127484680915</v>
      </c>
      <c r="Q35" s="48">
        <f t="shared" si="1"/>
        <v>14241763.07</v>
      </c>
    </row>
    <row r="36" spans="2:17" x14ac:dyDescent="0.3">
      <c r="B36" s="2" t="s">
        <v>80</v>
      </c>
      <c r="C36" s="2">
        <v>2024</v>
      </c>
      <c r="D36" s="3">
        <v>3992</v>
      </c>
      <c r="E36" s="3">
        <v>17571</v>
      </c>
      <c r="F36" s="16">
        <v>8042455.2400000002</v>
      </c>
      <c r="G36" s="3">
        <v>2198</v>
      </c>
      <c r="H36" s="3">
        <v>10963</v>
      </c>
      <c r="I36" s="16">
        <v>5969118.7199999997</v>
      </c>
      <c r="J36" s="3">
        <v>154</v>
      </c>
      <c r="K36" s="3">
        <v>287</v>
      </c>
      <c r="L36" s="16">
        <v>274399.26</v>
      </c>
      <c r="M36" s="16">
        <v>14285973.220000001</v>
      </c>
      <c r="N36" s="3">
        <v>6689</v>
      </c>
      <c r="O36" s="15">
        <v>2135.7412498131262</v>
      </c>
      <c r="P36" s="45">
        <f t="shared" si="0"/>
        <v>0.9484227836746898</v>
      </c>
      <c r="Q36" s="48">
        <f t="shared" si="1"/>
        <v>14285973.220000001</v>
      </c>
    </row>
    <row r="37" spans="2:17" x14ac:dyDescent="0.3">
      <c r="B37" s="2" t="s">
        <v>81</v>
      </c>
      <c r="C37" s="2">
        <v>2024</v>
      </c>
      <c r="D37" s="3">
        <v>4006</v>
      </c>
      <c r="E37" s="3">
        <v>16660</v>
      </c>
      <c r="F37" s="16">
        <v>8170026.8799999999</v>
      </c>
      <c r="G37" s="3">
        <v>2197</v>
      </c>
      <c r="H37" s="3">
        <v>10087</v>
      </c>
      <c r="I37" s="16">
        <v>6044613.9100000001</v>
      </c>
      <c r="J37" s="3">
        <v>153</v>
      </c>
      <c r="K37" s="3">
        <v>347</v>
      </c>
      <c r="L37" s="16">
        <v>261829.47</v>
      </c>
      <c r="M37" s="16">
        <v>14476470.26</v>
      </c>
      <c r="N37" s="3">
        <v>6710</v>
      </c>
      <c r="O37" s="15">
        <v>2157.4471326378539</v>
      </c>
      <c r="P37" s="45">
        <f t="shared" si="0"/>
        <v>0.94724292101341279</v>
      </c>
      <c r="Q37" s="48">
        <f t="shared" si="1"/>
        <v>14476470.26</v>
      </c>
    </row>
    <row r="38" spans="2:17" x14ac:dyDescent="0.3">
      <c r="B38" s="2" t="s">
        <v>82</v>
      </c>
      <c r="C38" s="2">
        <v>2024</v>
      </c>
      <c r="D38" s="3">
        <v>4052</v>
      </c>
      <c r="E38" s="3">
        <v>16398</v>
      </c>
      <c r="F38" s="16">
        <v>8202162.4400000004</v>
      </c>
      <c r="G38" s="3">
        <v>2224</v>
      </c>
      <c r="H38" s="3">
        <v>9954</v>
      </c>
      <c r="I38" s="16">
        <v>6049230.1100000003</v>
      </c>
      <c r="J38" s="3">
        <v>152</v>
      </c>
      <c r="K38" s="3">
        <v>341</v>
      </c>
      <c r="L38" s="16">
        <v>273225.98</v>
      </c>
      <c r="M38" s="16">
        <v>14524618.530000001</v>
      </c>
      <c r="N38" s="3">
        <v>6688</v>
      </c>
      <c r="O38" s="15">
        <v>2171.7432012559811</v>
      </c>
      <c r="P38" s="45">
        <f t="shared" si="0"/>
        <v>0.9611244019138756</v>
      </c>
      <c r="Q38" s="48">
        <f t="shared" si="1"/>
        <v>14524618.530000001</v>
      </c>
    </row>
    <row r="39" spans="2:17" x14ac:dyDescent="0.3">
      <c r="B39" s="2" t="s">
        <v>83</v>
      </c>
      <c r="C39" s="2">
        <v>2024</v>
      </c>
      <c r="D39" s="3">
        <v>4068</v>
      </c>
      <c r="E39" s="3">
        <v>19318</v>
      </c>
      <c r="F39" s="16">
        <v>8266813.25</v>
      </c>
      <c r="G39" s="3">
        <v>2221</v>
      </c>
      <c r="H39" s="3">
        <v>12123</v>
      </c>
      <c r="I39" s="16">
        <v>5983662.1900000004</v>
      </c>
      <c r="J39" s="3">
        <v>167</v>
      </c>
      <c r="K39" s="3">
        <v>340</v>
      </c>
      <c r="L39" s="16">
        <v>289275.19</v>
      </c>
      <c r="M39" s="16">
        <v>14539750.630000001</v>
      </c>
      <c r="N39" s="3">
        <v>6707</v>
      </c>
      <c r="O39" s="15">
        <v>2167.8471194274639</v>
      </c>
      <c r="P39" s="45">
        <f t="shared" si="0"/>
        <v>0.96257641270314598</v>
      </c>
      <c r="Q39" s="48">
        <f t="shared" si="1"/>
        <v>14539750.630000001</v>
      </c>
    </row>
    <row r="40" spans="2:17" x14ac:dyDescent="0.3">
      <c r="B40" s="2" t="s">
        <v>84</v>
      </c>
      <c r="C40" s="2">
        <v>2025</v>
      </c>
      <c r="D40" s="3">
        <v>4116</v>
      </c>
      <c r="E40" s="3">
        <v>17023</v>
      </c>
      <c r="F40" s="16">
        <v>8301269.9699999997</v>
      </c>
      <c r="G40" s="3">
        <v>2216</v>
      </c>
      <c r="H40" s="3">
        <v>10312</v>
      </c>
      <c r="I40" s="16">
        <v>5992606.3600000003</v>
      </c>
      <c r="J40" s="3">
        <v>160</v>
      </c>
      <c r="K40" s="3">
        <v>402</v>
      </c>
      <c r="L40" s="16">
        <v>282307.92</v>
      </c>
      <c r="M40" s="16">
        <v>14576184.25</v>
      </c>
      <c r="N40" s="3">
        <v>6650</v>
      </c>
      <c r="O40" s="15">
        <v>2191.9074060150374</v>
      </c>
      <c r="P40" s="45">
        <f t="shared" si="0"/>
        <v>0.97624060150375935</v>
      </c>
      <c r="Q40" s="48">
        <f t="shared" si="1"/>
        <v>14576184.25</v>
      </c>
    </row>
    <row r="41" spans="2:17" x14ac:dyDescent="0.3">
      <c r="B41" s="2" t="s">
        <v>85</v>
      </c>
      <c r="C41" s="2">
        <v>2025</v>
      </c>
      <c r="D41" s="3">
        <v>4072</v>
      </c>
      <c r="E41" s="3">
        <v>16265</v>
      </c>
      <c r="F41" s="16">
        <v>8235389.0300000003</v>
      </c>
      <c r="G41" s="3">
        <v>2199</v>
      </c>
      <c r="H41" s="3">
        <v>9816</v>
      </c>
      <c r="I41" s="16">
        <v>5982786.75</v>
      </c>
      <c r="J41" s="3">
        <v>160</v>
      </c>
      <c r="K41" s="3">
        <v>367</v>
      </c>
      <c r="L41" s="16">
        <v>288991.59999999998</v>
      </c>
      <c r="M41" s="16">
        <v>14507167.380000001</v>
      </c>
      <c r="N41" s="3">
        <v>6631</v>
      </c>
      <c r="O41" s="15">
        <v>2187.7797285477304</v>
      </c>
      <c r="P41" s="45">
        <f t="shared" si="0"/>
        <v>0.96983863670637915</v>
      </c>
      <c r="Q41" s="48">
        <f t="shared" si="1"/>
        <v>14507167.380000001</v>
      </c>
    </row>
    <row r="42" spans="2:17" x14ac:dyDescent="0.3">
      <c r="B42" s="2" t="s">
        <v>86</v>
      </c>
      <c r="C42" s="2">
        <v>2025</v>
      </c>
      <c r="D42" s="3">
        <v>4022</v>
      </c>
      <c r="E42" s="3">
        <v>18176</v>
      </c>
      <c r="F42" s="16">
        <v>8231781.8200000003</v>
      </c>
      <c r="G42" s="3">
        <v>2195</v>
      </c>
      <c r="H42" s="3">
        <v>11231</v>
      </c>
      <c r="I42" s="16">
        <v>5980896.6600000001</v>
      </c>
      <c r="J42" s="3">
        <v>152</v>
      </c>
      <c r="K42" s="3">
        <v>358</v>
      </c>
      <c r="L42" s="16">
        <v>288652.19</v>
      </c>
      <c r="M42" s="16">
        <v>14501330.67</v>
      </c>
      <c r="N42" s="3">
        <v>6632</v>
      </c>
      <c r="O42" s="15">
        <v>2186.5697632689989</v>
      </c>
      <c r="P42" s="45">
        <f t="shared" si="0"/>
        <v>0.96034378769601925</v>
      </c>
      <c r="Q42" s="48">
        <f t="shared" si="1"/>
        <v>14501330.67</v>
      </c>
    </row>
    <row r="43" spans="2:17" x14ac:dyDescent="0.3">
      <c r="B43" s="2" t="s">
        <v>87</v>
      </c>
      <c r="C43" s="2">
        <v>2025</v>
      </c>
      <c r="D43" s="3">
        <v>3998</v>
      </c>
      <c r="E43" s="3">
        <v>16912</v>
      </c>
      <c r="F43" s="16">
        <v>8317095.9299999997</v>
      </c>
      <c r="G43" s="3">
        <v>2195</v>
      </c>
      <c r="H43" s="3">
        <v>10429</v>
      </c>
      <c r="I43" s="16">
        <v>6045552.3600000003</v>
      </c>
      <c r="J43" s="3">
        <v>162</v>
      </c>
      <c r="K43" s="3">
        <v>427</v>
      </c>
      <c r="L43" s="16">
        <v>307824.89</v>
      </c>
      <c r="M43" s="16">
        <v>14670473.18</v>
      </c>
      <c r="N43" s="3">
        <v>6693</v>
      </c>
      <c r="O43" s="15">
        <v>2191.9129209621992</v>
      </c>
      <c r="P43" s="45">
        <f t="shared" si="0"/>
        <v>0.9494994770655909</v>
      </c>
      <c r="Q43" s="48">
        <f t="shared" si="1"/>
        <v>14670473.18</v>
      </c>
    </row>
    <row r="44" spans="2:17" x14ac:dyDescent="0.3">
      <c r="B44" s="2" t="s">
        <v>88</v>
      </c>
      <c r="C44" s="2">
        <v>2025</v>
      </c>
      <c r="D44" s="3">
        <v>4017</v>
      </c>
      <c r="E44" s="3">
        <v>17173</v>
      </c>
      <c r="F44" s="16">
        <v>8250595.8200000003</v>
      </c>
      <c r="G44" s="3">
        <v>2220</v>
      </c>
      <c r="H44" s="3">
        <v>10420</v>
      </c>
      <c r="I44" s="16">
        <v>6034922.9800000004</v>
      </c>
      <c r="J44" s="3">
        <v>157</v>
      </c>
      <c r="K44" s="3">
        <v>428</v>
      </c>
      <c r="L44" s="16">
        <v>294441.93</v>
      </c>
      <c r="M44" s="16">
        <v>14579960.73</v>
      </c>
      <c r="N44" s="3">
        <v>6720</v>
      </c>
      <c r="O44" s="15">
        <v>2169.6370133928572</v>
      </c>
      <c r="P44" s="45">
        <f t="shared" si="0"/>
        <v>0.95148809523809519</v>
      </c>
      <c r="Q44" s="48">
        <f t="shared" si="1"/>
        <v>14579960.73</v>
      </c>
    </row>
    <row r="45" spans="2:17" x14ac:dyDescent="0.3">
      <c r="B45" s="2" t="s">
        <v>89</v>
      </c>
      <c r="C45" s="2">
        <v>2025</v>
      </c>
      <c r="D45" s="3">
        <v>4006</v>
      </c>
      <c r="E45" s="3">
        <v>19437</v>
      </c>
      <c r="F45" s="16">
        <v>8233030.6500000004</v>
      </c>
      <c r="G45" s="3">
        <v>2247</v>
      </c>
      <c r="H45" s="3">
        <v>12734</v>
      </c>
      <c r="I45" s="16">
        <v>6153695</v>
      </c>
      <c r="J45" s="3">
        <v>157</v>
      </c>
      <c r="K45" s="3">
        <v>442</v>
      </c>
      <c r="L45" s="16">
        <v>299683.65999999997</v>
      </c>
      <c r="M45" s="16">
        <v>14686409.310000001</v>
      </c>
      <c r="N45" s="3">
        <v>6750</v>
      </c>
      <c r="O45" s="15">
        <v>2175.7643422222222</v>
      </c>
      <c r="P45" s="45">
        <f t="shared" si="0"/>
        <v>0.9496296296296296</v>
      </c>
      <c r="Q45" s="48">
        <f t="shared" si="1"/>
        <v>14686409.310000001</v>
      </c>
    </row>
    <row r="46" spans="2:17" x14ac:dyDescent="0.3">
      <c r="B46" s="2" t="s">
        <v>90</v>
      </c>
      <c r="C46" s="2">
        <v>2025</v>
      </c>
      <c r="D46" s="3">
        <v>4004</v>
      </c>
      <c r="E46" s="3">
        <v>17687</v>
      </c>
      <c r="F46" s="16">
        <v>8192889.0499999998</v>
      </c>
      <c r="G46" s="3">
        <v>2239</v>
      </c>
      <c r="H46" s="3">
        <v>11170</v>
      </c>
      <c r="I46" s="16">
        <v>6147557.4500000002</v>
      </c>
      <c r="J46" s="3">
        <v>147</v>
      </c>
      <c r="K46" s="3">
        <v>471</v>
      </c>
      <c r="L46" s="16">
        <v>276888.68</v>
      </c>
      <c r="M46" s="16">
        <v>14617335.18</v>
      </c>
      <c r="N46" s="3">
        <v>6792</v>
      </c>
      <c r="O46" s="15">
        <v>2152.1400441696114</v>
      </c>
      <c r="P46" s="45">
        <f t="shared" si="0"/>
        <v>0.94081272084805656</v>
      </c>
      <c r="Q46" s="48">
        <f t="shared" si="1"/>
        <v>14617335.18</v>
      </c>
    </row>
    <row r="47" spans="2:17" x14ac:dyDescent="0.3">
      <c r="B47" s="2" t="s">
        <v>91</v>
      </c>
      <c r="C47" s="2">
        <v>2025</v>
      </c>
      <c r="D47" s="3">
        <v>4003</v>
      </c>
      <c r="E47" s="3">
        <v>17500</v>
      </c>
      <c r="F47" s="16">
        <v>8224204.5599999996</v>
      </c>
      <c r="G47" s="3">
        <v>2261</v>
      </c>
      <c r="H47" s="3">
        <v>11120</v>
      </c>
      <c r="I47" s="16">
        <v>6194769.4699999997</v>
      </c>
      <c r="J47" s="3">
        <v>152</v>
      </c>
      <c r="K47" s="3">
        <v>444</v>
      </c>
      <c r="L47" s="16">
        <v>291130.49</v>
      </c>
      <c r="M47" s="16">
        <v>14710104.52</v>
      </c>
      <c r="N47" s="3">
        <v>6816</v>
      </c>
      <c r="O47" s="15">
        <v>2158.1726115023475</v>
      </c>
      <c r="P47" s="45">
        <f t="shared" si="0"/>
        <v>0.94131455399061037</v>
      </c>
      <c r="Q47" s="48">
        <f t="shared" si="1"/>
        <v>14710104.52</v>
      </c>
    </row>
    <row r="48" spans="2:17" x14ac:dyDescent="0.3">
      <c r="B48" s="2" t="s">
        <v>92</v>
      </c>
      <c r="C48" s="2">
        <v>2025</v>
      </c>
      <c r="D48" s="3">
        <v>4000</v>
      </c>
      <c r="E48" s="3">
        <v>17280</v>
      </c>
      <c r="F48" s="16">
        <v>8243647.4299999997</v>
      </c>
      <c r="G48" s="3">
        <v>2220</v>
      </c>
      <c r="H48" s="3">
        <v>10755</v>
      </c>
      <c r="I48" s="16">
        <v>6118273.8300000001</v>
      </c>
      <c r="J48" s="3">
        <v>148</v>
      </c>
      <c r="K48" s="3">
        <v>431</v>
      </c>
      <c r="L48" s="16">
        <v>273995.67</v>
      </c>
      <c r="M48" s="16">
        <v>14635916.93</v>
      </c>
      <c r="N48" s="3">
        <v>6862</v>
      </c>
      <c r="O48" s="15">
        <v>2132.893752550277</v>
      </c>
      <c r="P48" s="45">
        <f t="shared" si="0"/>
        <v>0.92800932672690173</v>
      </c>
      <c r="Q48" s="48">
        <f t="shared" si="1"/>
        <v>14635916.93</v>
      </c>
    </row>
    <row r="49" spans="2:17" x14ac:dyDescent="0.3">
      <c r="B49" s="2" t="s">
        <v>93</v>
      </c>
      <c r="C49" s="2">
        <v>2025</v>
      </c>
      <c r="D49" s="3">
        <v>4001</v>
      </c>
      <c r="E49" s="3">
        <v>17684</v>
      </c>
      <c r="F49" s="16">
        <v>8223863.25</v>
      </c>
      <c r="G49" s="3">
        <v>2241</v>
      </c>
      <c r="H49" s="3">
        <v>10958</v>
      </c>
      <c r="I49" s="16">
        <v>6141654.29</v>
      </c>
      <c r="J49" s="3">
        <v>166</v>
      </c>
      <c r="K49" s="3">
        <v>511</v>
      </c>
      <c r="L49" s="16">
        <v>321767.49</v>
      </c>
      <c r="M49" s="16">
        <v>14687285.029999999</v>
      </c>
      <c r="N49" s="3">
        <v>6895</v>
      </c>
      <c r="O49" s="15">
        <v>2130.1356098622191</v>
      </c>
      <c r="P49" s="45">
        <f t="shared" si="0"/>
        <v>0.92936910804931105</v>
      </c>
      <c r="Q49" s="48">
        <f t="shared" si="1"/>
        <v>14687285.029999999</v>
      </c>
    </row>
    <row r="50" spans="2:17" x14ac:dyDescent="0.3">
      <c r="B50" s="2" t="s">
        <v>94</v>
      </c>
      <c r="C50" s="2">
        <v>2025</v>
      </c>
      <c r="D50" s="3">
        <v>3970</v>
      </c>
      <c r="E50" s="3">
        <v>17237</v>
      </c>
      <c r="F50" s="16">
        <v>8188290.2300000004</v>
      </c>
      <c r="G50" s="3">
        <v>2233</v>
      </c>
      <c r="H50" s="3">
        <v>10779</v>
      </c>
      <c r="I50" s="16">
        <v>6110917.5700000003</v>
      </c>
      <c r="J50" s="3">
        <v>155</v>
      </c>
      <c r="K50" s="3">
        <v>443</v>
      </c>
      <c r="L50" s="16">
        <v>298965.27</v>
      </c>
      <c r="M50" s="16">
        <v>14598173.07</v>
      </c>
      <c r="N50" s="3">
        <v>6850</v>
      </c>
      <c r="O50" s="15">
        <v>2131.1201562043798</v>
      </c>
      <c r="P50" s="45">
        <f t="shared" si="0"/>
        <v>0.92817518248175179</v>
      </c>
      <c r="Q50" s="48">
        <f t="shared" si="1"/>
        <v>14598173.07</v>
      </c>
    </row>
    <row r="51" spans="2:17" x14ac:dyDescent="0.3">
      <c r="B51" s="2" t="s">
        <v>95</v>
      </c>
      <c r="C51" s="2">
        <v>2025</v>
      </c>
      <c r="D51" s="3">
        <v>3950</v>
      </c>
      <c r="E51" s="3">
        <v>17737</v>
      </c>
      <c r="F51" s="16">
        <v>8048954.9199999999</v>
      </c>
      <c r="G51" s="3">
        <v>2212</v>
      </c>
      <c r="H51" s="3">
        <v>11128</v>
      </c>
      <c r="I51" s="16">
        <v>6005916.6399999997</v>
      </c>
      <c r="J51" s="3">
        <v>148</v>
      </c>
      <c r="K51" s="3">
        <v>403</v>
      </c>
      <c r="L51" s="16">
        <v>272546.69</v>
      </c>
      <c r="M51" s="16">
        <v>14327418.249999998</v>
      </c>
      <c r="N51" s="3">
        <v>6825</v>
      </c>
      <c r="O51" s="15">
        <v>2099.2554212454211</v>
      </c>
      <c r="P51" s="45">
        <f t="shared" si="0"/>
        <v>0.92454212454212459</v>
      </c>
      <c r="Q51" s="48">
        <f t="shared" si="1"/>
        <v>14327418.249999998</v>
      </c>
    </row>
    <row r="52" spans="2:17" x14ac:dyDescent="0.3">
      <c r="B52" s="2" t="s">
        <v>96</v>
      </c>
      <c r="C52" s="2">
        <v>2026</v>
      </c>
      <c r="D52" s="3">
        <v>3909</v>
      </c>
      <c r="E52" s="3">
        <v>37173</v>
      </c>
      <c r="F52" s="16">
        <v>7927626.9500000002</v>
      </c>
      <c r="G52" s="3">
        <v>2194</v>
      </c>
      <c r="H52" s="3">
        <v>20626</v>
      </c>
      <c r="I52" s="16">
        <v>5961873.3499999996</v>
      </c>
      <c r="J52" s="3">
        <v>136</v>
      </c>
      <c r="K52" s="3">
        <v>416</v>
      </c>
      <c r="L52" s="16">
        <v>250595.28</v>
      </c>
      <c r="M52" s="16">
        <v>14140095.58</v>
      </c>
      <c r="N52" s="3">
        <v>6809</v>
      </c>
      <c r="O52" s="15">
        <v>2076.6772771332062</v>
      </c>
      <c r="P52" s="45">
        <f t="shared" si="0"/>
        <v>0.91628726685269501</v>
      </c>
      <c r="Q52" s="48">
        <f t="shared" si="1"/>
        <v>14140095.58</v>
      </c>
    </row>
    <row r="53" spans="2:17" x14ac:dyDescent="0.3">
      <c r="B53" s="2" t="s">
        <v>97</v>
      </c>
      <c r="C53" s="2">
        <v>2026</v>
      </c>
      <c r="D53" s="3">
        <v>3878</v>
      </c>
      <c r="E53" s="3">
        <v>34677</v>
      </c>
      <c r="F53" s="16">
        <v>7888107.8200000003</v>
      </c>
      <c r="G53" s="3">
        <v>2171</v>
      </c>
      <c r="H53" s="3">
        <v>19244</v>
      </c>
      <c r="I53" s="16">
        <v>5919222.5899999999</v>
      </c>
      <c r="J53" s="3">
        <v>145</v>
      </c>
      <c r="K53" s="3">
        <v>409</v>
      </c>
      <c r="L53" s="16">
        <v>264533.46000000002</v>
      </c>
      <c r="M53" s="16">
        <v>14071863.870000001</v>
      </c>
      <c r="N53" s="3">
        <v>6719</v>
      </c>
      <c r="O53" s="15">
        <v>2094.3390191992858</v>
      </c>
      <c r="P53" s="45">
        <f t="shared" si="0"/>
        <v>0.92186337252567341</v>
      </c>
      <c r="Q53" s="48">
        <f t="shared" si="1"/>
        <v>14071863.870000001</v>
      </c>
    </row>
    <row r="54" spans="2:17" x14ac:dyDescent="0.3">
      <c r="B54" s="2" t="s">
        <v>98</v>
      </c>
      <c r="C54" s="2">
        <v>2026</v>
      </c>
      <c r="D54" s="3">
        <v>3858</v>
      </c>
      <c r="E54" s="3">
        <v>39297</v>
      </c>
      <c r="F54" s="16">
        <v>7910075.79</v>
      </c>
      <c r="G54" s="3">
        <v>2150</v>
      </c>
      <c r="H54" s="3">
        <v>21716</v>
      </c>
      <c r="I54" s="16">
        <v>5932590.0499999998</v>
      </c>
      <c r="J54" s="3">
        <v>138</v>
      </c>
      <c r="K54" s="3">
        <v>417</v>
      </c>
      <c r="L54" s="16">
        <v>262603.76</v>
      </c>
      <c r="M54" s="16">
        <v>14105269.6</v>
      </c>
      <c r="N54" s="3">
        <v>6669</v>
      </c>
      <c r="O54" s="15">
        <v>2115.0501724396458</v>
      </c>
      <c r="P54" s="45">
        <f t="shared" si="0"/>
        <v>0.92157744789323737</v>
      </c>
      <c r="Q54" s="48">
        <f t="shared" si="1"/>
        <v>14105269.6</v>
      </c>
    </row>
    <row r="55" spans="2:17" x14ac:dyDescent="0.3">
      <c r="B55" s="2" t="s">
        <v>113</v>
      </c>
      <c r="C55" s="2"/>
      <c r="D55" s="2"/>
      <c r="E55" s="2"/>
      <c r="F55" s="2"/>
      <c r="G55" s="2"/>
      <c r="H55" s="2"/>
      <c r="I55" s="2"/>
      <c r="J55" s="2"/>
      <c r="K55" s="2"/>
      <c r="L55" s="2"/>
      <c r="M55" s="2"/>
      <c r="N55" s="2"/>
      <c r="O55" s="2"/>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7BB95-4609-4E04-9DEE-5C5E973DDEAF}">
  <sheetPr>
    <tabColor theme="1"/>
  </sheetPr>
  <dimension ref="B3:Q54"/>
  <sheetViews>
    <sheetView zoomScaleNormal="100" workbookViewId="0"/>
  </sheetViews>
  <sheetFormatPr defaultRowHeight="13.8" x14ac:dyDescent="0.3"/>
  <cols>
    <col min="4" max="4" width="9.33203125" bestFit="1" customWidth="1"/>
    <col min="5" max="5" width="10" bestFit="1" customWidth="1"/>
    <col min="6" max="6" width="13.5546875" bestFit="1" customWidth="1"/>
    <col min="9" max="9" width="11" bestFit="1" customWidth="1"/>
    <col min="12" max="12" width="13.109375" bestFit="1" customWidth="1"/>
    <col min="13" max="13" width="14.5546875" bestFit="1" customWidth="1"/>
    <col min="15" max="15" width="10" bestFit="1" customWidth="1"/>
    <col min="17" max="17" width="12" bestFit="1" customWidth="1"/>
  </cols>
  <sheetData>
    <row r="3" spans="2:17" x14ac:dyDescent="0.3">
      <c r="B3" s="2" t="s">
        <v>39</v>
      </c>
      <c r="C3" s="2" t="s">
        <v>40</v>
      </c>
      <c r="D3" s="2" t="s">
        <v>99</v>
      </c>
      <c r="E3" s="2" t="s">
        <v>100</v>
      </c>
      <c r="F3" s="2" t="s">
        <v>101</v>
      </c>
      <c r="G3" s="2" t="s">
        <v>102</v>
      </c>
      <c r="H3" s="2" t="s">
        <v>103</v>
      </c>
      <c r="I3" s="2" t="s">
        <v>104</v>
      </c>
      <c r="J3" s="2" t="s">
        <v>105</v>
      </c>
      <c r="K3" s="2" t="s">
        <v>106</v>
      </c>
      <c r="L3" s="2" t="s">
        <v>107</v>
      </c>
      <c r="M3" s="2" t="s">
        <v>108</v>
      </c>
      <c r="N3" s="2" t="s">
        <v>114</v>
      </c>
      <c r="O3" s="2" t="s">
        <v>110</v>
      </c>
      <c r="P3" s="6" t="s">
        <v>111</v>
      </c>
      <c r="Q3" s="6" t="s">
        <v>112</v>
      </c>
    </row>
    <row r="4" spans="2:17" x14ac:dyDescent="0.3">
      <c r="B4" s="2" t="s">
        <v>48</v>
      </c>
      <c r="C4" s="2">
        <v>2022</v>
      </c>
      <c r="D4" s="3">
        <v>5676</v>
      </c>
      <c r="E4" s="3">
        <v>24262</v>
      </c>
      <c r="F4" s="16">
        <v>11175201.67</v>
      </c>
      <c r="G4" s="3">
        <v>2137</v>
      </c>
      <c r="H4" s="3">
        <v>9939</v>
      </c>
      <c r="I4" s="16">
        <v>5851242.4699999997</v>
      </c>
      <c r="J4" s="3">
        <v>140</v>
      </c>
      <c r="K4" s="3">
        <v>280</v>
      </c>
      <c r="L4" s="16">
        <v>257279.2</v>
      </c>
      <c r="M4" s="16">
        <v>17283723.34</v>
      </c>
      <c r="N4" s="3">
        <v>12995</v>
      </c>
      <c r="O4" s="15">
        <v>1330.0287295113505</v>
      </c>
      <c r="P4" s="45">
        <f>(D4+G4+J4)/N4</f>
        <v>0.6120046171604463</v>
      </c>
      <c r="Q4" s="48">
        <f>F4+I4+L4</f>
        <v>17283723.34</v>
      </c>
    </row>
    <row r="5" spans="2:17" x14ac:dyDescent="0.3">
      <c r="B5" s="2" t="s">
        <v>49</v>
      </c>
      <c r="C5" s="2">
        <v>2022</v>
      </c>
      <c r="D5" s="3">
        <v>5656</v>
      </c>
      <c r="E5" s="3">
        <v>21281</v>
      </c>
      <c r="F5" s="16">
        <v>11066765.33</v>
      </c>
      <c r="G5" s="3">
        <v>2156</v>
      </c>
      <c r="H5" s="3">
        <v>8788</v>
      </c>
      <c r="I5" s="16">
        <v>5924279.8499999996</v>
      </c>
      <c r="J5" s="3">
        <v>130</v>
      </c>
      <c r="K5" s="3">
        <v>255</v>
      </c>
      <c r="L5" s="16">
        <v>227468.75</v>
      </c>
      <c r="M5" s="16">
        <v>17218513.93</v>
      </c>
      <c r="N5" s="3">
        <v>12887</v>
      </c>
      <c r="O5" s="15">
        <v>1336.1149941801816</v>
      </c>
      <c r="P5" s="45">
        <f t="shared" ref="P5:P54" si="0">(D5+G5+J5)/N5</f>
        <v>0.61627997206487162</v>
      </c>
      <c r="Q5" s="48">
        <f t="shared" ref="Q5:Q54" si="1">F5+I5+L5</f>
        <v>17218513.93</v>
      </c>
    </row>
    <row r="6" spans="2:17" x14ac:dyDescent="0.3">
      <c r="B6" s="2" t="s">
        <v>50</v>
      </c>
      <c r="C6" s="2">
        <v>2022</v>
      </c>
      <c r="D6" s="3">
        <v>5753</v>
      </c>
      <c r="E6" s="3">
        <v>23306</v>
      </c>
      <c r="F6" s="16">
        <v>10428792.92</v>
      </c>
      <c r="G6" s="3">
        <v>2212</v>
      </c>
      <c r="H6" s="3">
        <v>9613</v>
      </c>
      <c r="I6" s="16">
        <v>5602092.5199999996</v>
      </c>
      <c r="J6" s="3">
        <v>147</v>
      </c>
      <c r="K6" s="3">
        <v>297</v>
      </c>
      <c r="L6" s="16">
        <v>228601.67</v>
      </c>
      <c r="M6" s="16">
        <v>16259487.109999999</v>
      </c>
      <c r="N6" s="3">
        <v>12885</v>
      </c>
      <c r="O6" s="15">
        <v>1261.8926744276289</v>
      </c>
      <c r="P6" s="45">
        <f t="shared" si="0"/>
        <v>0.6295692665890571</v>
      </c>
      <c r="Q6" s="48">
        <f t="shared" si="1"/>
        <v>16259487.109999999</v>
      </c>
    </row>
    <row r="7" spans="2:17" x14ac:dyDescent="0.3">
      <c r="B7" s="2" t="s">
        <v>51</v>
      </c>
      <c r="C7" s="2">
        <v>2022</v>
      </c>
      <c r="D7" s="3">
        <v>5811</v>
      </c>
      <c r="E7" s="3">
        <v>23375</v>
      </c>
      <c r="F7" s="16">
        <v>11416769.710000001</v>
      </c>
      <c r="G7" s="3">
        <v>2227</v>
      </c>
      <c r="H7" s="3">
        <v>9653</v>
      </c>
      <c r="I7" s="16">
        <v>6164866.2000000002</v>
      </c>
      <c r="J7" s="3">
        <v>148</v>
      </c>
      <c r="K7" s="3">
        <v>315</v>
      </c>
      <c r="L7" s="16">
        <v>265389.38</v>
      </c>
      <c r="M7" s="16">
        <v>17847025.289999999</v>
      </c>
      <c r="N7" s="3">
        <v>12730</v>
      </c>
      <c r="O7" s="15">
        <v>1401.9658515318145</v>
      </c>
      <c r="P7" s="45">
        <f t="shared" si="0"/>
        <v>0.64304791830322072</v>
      </c>
      <c r="Q7" s="48">
        <f t="shared" si="1"/>
        <v>17847025.289999999</v>
      </c>
    </row>
    <row r="8" spans="2:17" x14ac:dyDescent="0.3">
      <c r="B8" s="2" t="s">
        <v>52</v>
      </c>
      <c r="C8" s="2">
        <v>2022</v>
      </c>
      <c r="D8" s="3">
        <v>5794</v>
      </c>
      <c r="E8" s="3">
        <v>26223</v>
      </c>
      <c r="F8" s="16">
        <v>11521828.640000001</v>
      </c>
      <c r="G8" s="3">
        <v>2237</v>
      </c>
      <c r="H8" s="3">
        <v>11199</v>
      </c>
      <c r="I8" s="16">
        <v>6180128.0099999998</v>
      </c>
      <c r="J8" s="3">
        <v>148</v>
      </c>
      <c r="K8" s="3">
        <v>310</v>
      </c>
      <c r="L8" s="16">
        <v>260424.4</v>
      </c>
      <c r="M8" s="16">
        <v>17962381.049999997</v>
      </c>
      <c r="N8" s="3">
        <v>12692</v>
      </c>
      <c r="O8" s="15">
        <v>1415.2522100535768</v>
      </c>
      <c r="P8" s="45">
        <f t="shared" si="0"/>
        <v>0.64442168294988966</v>
      </c>
      <c r="Q8" s="48">
        <f t="shared" si="1"/>
        <v>17962381.049999997</v>
      </c>
    </row>
    <row r="9" spans="2:17" x14ac:dyDescent="0.3">
      <c r="B9" s="2" t="s">
        <v>53</v>
      </c>
      <c r="C9" s="2">
        <v>2022</v>
      </c>
      <c r="D9" s="3">
        <v>5828</v>
      </c>
      <c r="E9" s="3">
        <v>23954</v>
      </c>
      <c r="F9" s="16">
        <v>11506537.119999999</v>
      </c>
      <c r="G9" s="3">
        <v>2268</v>
      </c>
      <c r="H9" s="3">
        <v>10264</v>
      </c>
      <c r="I9" s="16">
        <v>6334558.5300000003</v>
      </c>
      <c r="J9" s="3">
        <v>148</v>
      </c>
      <c r="K9" s="3">
        <v>338</v>
      </c>
      <c r="L9" s="16">
        <v>270740.94</v>
      </c>
      <c r="M9" s="16">
        <v>18111836.59</v>
      </c>
      <c r="N9" s="3">
        <v>12700</v>
      </c>
      <c r="O9" s="15">
        <v>1426.1288653543306</v>
      </c>
      <c r="P9" s="45">
        <f t="shared" si="0"/>
        <v>0.64913385826771652</v>
      </c>
      <c r="Q9" s="48">
        <f t="shared" si="1"/>
        <v>18111836.59</v>
      </c>
    </row>
    <row r="10" spans="2:17" x14ac:dyDescent="0.3">
      <c r="B10" s="2" t="s">
        <v>54</v>
      </c>
      <c r="C10" s="2">
        <v>2022</v>
      </c>
      <c r="D10" s="3">
        <v>5761</v>
      </c>
      <c r="E10" s="3">
        <v>23727</v>
      </c>
      <c r="F10" s="16">
        <v>11547524.18</v>
      </c>
      <c r="G10" s="3">
        <v>2281</v>
      </c>
      <c r="H10" s="3">
        <v>10145</v>
      </c>
      <c r="I10" s="16">
        <v>6355653.3399999999</v>
      </c>
      <c r="J10" s="3">
        <v>144</v>
      </c>
      <c r="K10" s="3">
        <v>320</v>
      </c>
      <c r="L10" s="16">
        <v>266090.03999999998</v>
      </c>
      <c r="M10" s="16">
        <v>18169267.559999999</v>
      </c>
      <c r="N10" s="3">
        <v>12590</v>
      </c>
      <c r="O10" s="15">
        <v>1443.1507196187449</v>
      </c>
      <c r="P10" s="45">
        <f t="shared" si="0"/>
        <v>0.65019857029388406</v>
      </c>
      <c r="Q10" s="48">
        <f t="shared" si="1"/>
        <v>18169267.559999999</v>
      </c>
    </row>
    <row r="11" spans="2:17" x14ac:dyDescent="0.3">
      <c r="B11" s="2" t="s">
        <v>55</v>
      </c>
      <c r="C11" s="2">
        <v>2022</v>
      </c>
      <c r="D11" s="3">
        <v>5815</v>
      </c>
      <c r="E11" s="3">
        <v>23705</v>
      </c>
      <c r="F11" s="16">
        <v>11573251.640000001</v>
      </c>
      <c r="G11" s="3">
        <v>2301</v>
      </c>
      <c r="H11" s="3">
        <v>10177</v>
      </c>
      <c r="I11" s="16">
        <v>6379071.9699999997</v>
      </c>
      <c r="J11" s="3">
        <v>139</v>
      </c>
      <c r="K11" s="3">
        <v>286</v>
      </c>
      <c r="L11" s="16">
        <v>255249.33</v>
      </c>
      <c r="M11" s="16">
        <v>18207572.939999998</v>
      </c>
      <c r="N11" s="3">
        <v>12625</v>
      </c>
      <c r="O11" s="15">
        <v>1442.1839952475245</v>
      </c>
      <c r="P11" s="45">
        <f t="shared" si="0"/>
        <v>0.65386138613861389</v>
      </c>
      <c r="Q11" s="48">
        <f t="shared" si="1"/>
        <v>18207572.939999998</v>
      </c>
    </row>
    <row r="12" spans="2:17" x14ac:dyDescent="0.3">
      <c r="B12" s="2" t="s">
        <v>56</v>
      </c>
      <c r="C12" s="2">
        <v>2022</v>
      </c>
      <c r="D12" s="3">
        <v>5850</v>
      </c>
      <c r="E12" s="3">
        <v>23917</v>
      </c>
      <c r="F12" s="16">
        <v>11597902.9</v>
      </c>
      <c r="G12" s="3">
        <v>2329</v>
      </c>
      <c r="H12" s="3">
        <v>10235</v>
      </c>
      <c r="I12" s="16">
        <v>6440854.4699999997</v>
      </c>
      <c r="J12" s="3">
        <v>156</v>
      </c>
      <c r="K12" s="3">
        <v>308</v>
      </c>
      <c r="L12" s="16">
        <v>277421.86</v>
      </c>
      <c r="M12" s="16">
        <v>18316179.23</v>
      </c>
      <c r="N12" s="3">
        <v>12567</v>
      </c>
      <c r="O12" s="15">
        <v>1457.4822336277552</v>
      </c>
      <c r="P12" s="45">
        <f t="shared" si="0"/>
        <v>0.66324500676374631</v>
      </c>
      <c r="Q12" s="48">
        <f t="shared" si="1"/>
        <v>18316179.23</v>
      </c>
    </row>
    <row r="13" spans="2:17" x14ac:dyDescent="0.3">
      <c r="B13" s="2" t="s">
        <v>57</v>
      </c>
      <c r="C13" s="2">
        <v>2022</v>
      </c>
      <c r="D13" s="3">
        <v>5880</v>
      </c>
      <c r="E13" s="3">
        <v>26783</v>
      </c>
      <c r="F13" s="16">
        <v>11686043.34</v>
      </c>
      <c r="G13" s="3">
        <v>2393</v>
      </c>
      <c r="H13" s="3">
        <v>11880</v>
      </c>
      <c r="I13" s="16">
        <v>6559284.3899999997</v>
      </c>
      <c r="J13" s="3">
        <v>162</v>
      </c>
      <c r="K13" s="3">
        <v>350</v>
      </c>
      <c r="L13" s="16">
        <v>304457.28000000003</v>
      </c>
      <c r="M13" s="16">
        <v>18549785.010000002</v>
      </c>
      <c r="N13" s="3">
        <v>12584</v>
      </c>
      <c r="O13" s="15">
        <v>1474.0770033375716</v>
      </c>
      <c r="P13" s="45">
        <f t="shared" si="0"/>
        <v>0.67029561347743161</v>
      </c>
      <c r="Q13" s="48">
        <f t="shared" si="1"/>
        <v>18549785.010000002</v>
      </c>
    </row>
    <row r="14" spans="2:17" x14ac:dyDescent="0.3">
      <c r="B14" s="2" t="s">
        <v>58</v>
      </c>
      <c r="C14" s="2">
        <v>2022</v>
      </c>
      <c r="D14" s="3">
        <v>5736</v>
      </c>
      <c r="E14" s="3">
        <v>23797</v>
      </c>
      <c r="F14" s="16">
        <v>11390535.310000001</v>
      </c>
      <c r="G14" s="3">
        <v>2403</v>
      </c>
      <c r="H14" s="3">
        <v>10577</v>
      </c>
      <c r="I14" s="16">
        <v>6594411.6900000004</v>
      </c>
      <c r="J14" s="3">
        <v>155</v>
      </c>
      <c r="K14" s="3">
        <v>278</v>
      </c>
      <c r="L14" s="16">
        <v>289965.2</v>
      </c>
      <c r="M14" s="16">
        <v>18274912.199999999</v>
      </c>
      <c r="N14" s="3">
        <v>12607</v>
      </c>
      <c r="O14" s="15">
        <v>1449.5845324026334</v>
      </c>
      <c r="P14" s="45">
        <f t="shared" si="0"/>
        <v>0.65788847465693667</v>
      </c>
      <c r="Q14" s="48">
        <f t="shared" si="1"/>
        <v>18274912.199999999</v>
      </c>
    </row>
    <row r="15" spans="2:17" x14ac:dyDescent="0.3">
      <c r="B15" s="2" t="s">
        <v>59</v>
      </c>
      <c r="C15" s="2">
        <v>2022</v>
      </c>
      <c r="D15" s="3">
        <v>5726</v>
      </c>
      <c r="E15" s="3">
        <v>23666</v>
      </c>
      <c r="F15" s="16">
        <v>11360145.92</v>
      </c>
      <c r="G15" s="3">
        <v>2400</v>
      </c>
      <c r="H15" s="3">
        <v>10554</v>
      </c>
      <c r="I15" s="16">
        <v>6616001.79</v>
      </c>
      <c r="J15" s="3">
        <v>152</v>
      </c>
      <c r="K15" s="3">
        <v>278</v>
      </c>
      <c r="L15" s="16">
        <v>284821.64</v>
      </c>
      <c r="M15" s="16">
        <v>18260969.350000001</v>
      </c>
      <c r="N15" s="3">
        <v>12540</v>
      </c>
      <c r="O15" s="15">
        <v>1456.2176515151516</v>
      </c>
      <c r="P15" s="45">
        <f t="shared" si="0"/>
        <v>0.66012759170653912</v>
      </c>
      <c r="Q15" s="48">
        <f t="shared" si="1"/>
        <v>18260969.350000001</v>
      </c>
    </row>
    <row r="16" spans="2:17" x14ac:dyDescent="0.3">
      <c r="B16" s="2" t="s">
        <v>60</v>
      </c>
      <c r="C16" s="2">
        <v>2023</v>
      </c>
      <c r="D16" s="3">
        <v>5739</v>
      </c>
      <c r="E16" s="3">
        <v>26569</v>
      </c>
      <c r="F16" s="16">
        <v>11327252.09</v>
      </c>
      <c r="G16" s="3">
        <v>2424</v>
      </c>
      <c r="H16" s="3">
        <v>12229</v>
      </c>
      <c r="I16" s="16">
        <v>6671665.21</v>
      </c>
      <c r="J16" s="3">
        <v>153</v>
      </c>
      <c r="K16" s="3">
        <v>270</v>
      </c>
      <c r="L16" s="16">
        <v>277372.28999999998</v>
      </c>
      <c r="M16" s="16">
        <v>18276289.59</v>
      </c>
      <c r="N16" s="3">
        <v>12501</v>
      </c>
      <c r="O16" s="15">
        <v>1461.9862083033356</v>
      </c>
      <c r="P16" s="45">
        <f t="shared" si="0"/>
        <v>0.66522678185745143</v>
      </c>
      <c r="Q16" s="48">
        <f t="shared" si="1"/>
        <v>18276289.59</v>
      </c>
    </row>
    <row r="17" spans="2:17" x14ac:dyDescent="0.3">
      <c r="B17" s="2" t="s">
        <v>61</v>
      </c>
      <c r="C17" s="2">
        <v>2023</v>
      </c>
      <c r="D17" s="3">
        <v>5792</v>
      </c>
      <c r="E17" s="3">
        <v>23465</v>
      </c>
      <c r="F17" s="16">
        <v>11309542.880000001</v>
      </c>
      <c r="G17" s="3">
        <v>2428</v>
      </c>
      <c r="H17" s="3">
        <v>10640</v>
      </c>
      <c r="I17" s="16">
        <v>6714659.1299999999</v>
      </c>
      <c r="J17" s="3">
        <v>150</v>
      </c>
      <c r="K17" s="3">
        <v>241</v>
      </c>
      <c r="L17" s="16">
        <v>277134.71999999997</v>
      </c>
      <c r="M17" s="16">
        <v>18301336.73</v>
      </c>
      <c r="N17" s="3">
        <v>12474</v>
      </c>
      <c r="O17" s="15">
        <v>1467.1586283469617</v>
      </c>
      <c r="P17" s="45">
        <f t="shared" si="0"/>
        <v>0.67099567099567103</v>
      </c>
      <c r="Q17" s="48">
        <f t="shared" si="1"/>
        <v>18301336.73</v>
      </c>
    </row>
    <row r="18" spans="2:17" x14ac:dyDescent="0.3">
      <c r="B18" s="2" t="s">
        <v>62</v>
      </c>
      <c r="C18" s="2">
        <v>2023</v>
      </c>
      <c r="D18" s="3">
        <v>5834</v>
      </c>
      <c r="E18" s="3">
        <v>24652</v>
      </c>
      <c r="F18" s="16">
        <v>11506257.310000001</v>
      </c>
      <c r="G18" s="3">
        <v>2465</v>
      </c>
      <c r="H18" s="3">
        <v>11046</v>
      </c>
      <c r="I18" s="16">
        <v>6745144.8799999999</v>
      </c>
      <c r="J18" s="3">
        <v>155</v>
      </c>
      <c r="K18" s="3">
        <v>360</v>
      </c>
      <c r="L18" s="16">
        <v>288162.26</v>
      </c>
      <c r="M18" s="16">
        <v>18539564.450000003</v>
      </c>
      <c r="N18" s="3">
        <v>12491</v>
      </c>
      <c r="O18" s="15">
        <v>1484.2338043391244</v>
      </c>
      <c r="P18" s="45">
        <f t="shared" si="0"/>
        <v>0.67680730125690503</v>
      </c>
      <c r="Q18" s="48">
        <f t="shared" si="1"/>
        <v>18539564.450000003</v>
      </c>
    </row>
    <row r="19" spans="2:17" x14ac:dyDescent="0.3">
      <c r="B19" s="2" t="s">
        <v>63</v>
      </c>
      <c r="C19" s="2">
        <v>2023</v>
      </c>
      <c r="D19" s="3">
        <v>5867</v>
      </c>
      <c r="E19" s="3">
        <v>24395</v>
      </c>
      <c r="F19" s="16">
        <v>11598809.369999999</v>
      </c>
      <c r="G19" s="3">
        <v>2501</v>
      </c>
      <c r="H19" s="3">
        <v>10920</v>
      </c>
      <c r="I19" s="16">
        <v>6855438.7300000004</v>
      </c>
      <c r="J19" s="3">
        <v>157</v>
      </c>
      <c r="K19" s="3">
        <v>348</v>
      </c>
      <c r="L19" s="16">
        <v>286609.58</v>
      </c>
      <c r="M19" s="16">
        <v>18740857.68</v>
      </c>
      <c r="N19" s="3">
        <v>12426</v>
      </c>
      <c r="O19" s="15">
        <v>1508.1971414775471</v>
      </c>
      <c r="P19" s="45">
        <f t="shared" si="0"/>
        <v>0.68606148398519229</v>
      </c>
      <c r="Q19" s="48">
        <f t="shared" si="1"/>
        <v>18740857.68</v>
      </c>
    </row>
    <row r="20" spans="2:17" x14ac:dyDescent="0.3">
      <c r="B20" s="2" t="s">
        <v>64</v>
      </c>
      <c r="C20" s="2">
        <v>2023</v>
      </c>
      <c r="D20" s="3">
        <v>5926</v>
      </c>
      <c r="E20" s="3">
        <v>24638</v>
      </c>
      <c r="F20" s="16">
        <v>11743605.050000001</v>
      </c>
      <c r="G20" s="3">
        <v>2494</v>
      </c>
      <c r="H20" s="3">
        <v>11125</v>
      </c>
      <c r="I20" s="16">
        <v>6880773.2599999998</v>
      </c>
      <c r="J20" s="3">
        <v>159</v>
      </c>
      <c r="K20" s="3">
        <v>321</v>
      </c>
      <c r="L20" s="16">
        <v>286615.40999999997</v>
      </c>
      <c r="M20" s="16">
        <v>18910993.720000003</v>
      </c>
      <c r="N20" s="3">
        <v>12493</v>
      </c>
      <c r="O20" s="15">
        <v>1513.7271848235014</v>
      </c>
      <c r="P20" s="45">
        <f t="shared" si="0"/>
        <v>0.68670455455054835</v>
      </c>
      <c r="Q20" s="48">
        <f t="shared" si="1"/>
        <v>18910993.720000003</v>
      </c>
    </row>
    <row r="21" spans="2:17" x14ac:dyDescent="0.3">
      <c r="B21" s="2" t="s">
        <v>65</v>
      </c>
      <c r="C21" s="2">
        <v>2023</v>
      </c>
      <c r="D21" s="3">
        <v>5841</v>
      </c>
      <c r="E21" s="3">
        <v>25526</v>
      </c>
      <c r="F21" s="16">
        <v>11635738.41</v>
      </c>
      <c r="G21" s="3">
        <v>2532</v>
      </c>
      <c r="H21" s="3">
        <v>12113</v>
      </c>
      <c r="I21" s="16">
        <v>6910398.8899999997</v>
      </c>
      <c r="J21" s="3">
        <v>149</v>
      </c>
      <c r="K21" s="3">
        <v>315</v>
      </c>
      <c r="L21" s="16">
        <v>276293.95</v>
      </c>
      <c r="M21" s="16">
        <v>18822431.25</v>
      </c>
      <c r="N21" s="3">
        <v>12478</v>
      </c>
      <c r="O21" s="15">
        <v>1508.4493708927712</v>
      </c>
      <c r="P21" s="45">
        <f t="shared" si="0"/>
        <v>0.68296201314313187</v>
      </c>
      <c r="Q21" s="48">
        <f t="shared" si="1"/>
        <v>18822431.25</v>
      </c>
    </row>
    <row r="22" spans="2:17" x14ac:dyDescent="0.3">
      <c r="B22" s="2" t="s">
        <v>66</v>
      </c>
      <c r="C22" s="2">
        <v>2023</v>
      </c>
      <c r="D22" s="3">
        <v>5870</v>
      </c>
      <c r="E22" s="3">
        <v>26898</v>
      </c>
      <c r="F22" s="16">
        <v>11661695.91</v>
      </c>
      <c r="G22" s="3">
        <v>2525</v>
      </c>
      <c r="H22" s="3">
        <v>12610</v>
      </c>
      <c r="I22" s="16">
        <v>6917372.8200000003</v>
      </c>
      <c r="J22" s="3">
        <v>150</v>
      </c>
      <c r="K22" s="3">
        <v>298</v>
      </c>
      <c r="L22" s="16">
        <v>274699.59000000003</v>
      </c>
      <c r="M22" s="16">
        <v>18853768.32</v>
      </c>
      <c r="N22" s="3">
        <v>12468</v>
      </c>
      <c r="O22" s="15">
        <v>1512.1726275264677</v>
      </c>
      <c r="P22" s="45">
        <f t="shared" si="0"/>
        <v>0.68535450753930061</v>
      </c>
      <c r="Q22" s="48">
        <f t="shared" si="1"/>
        <v>18853768.32</v>
      </c>
    </row>
    <row r="23" spans="2:17" x14ac:dyDescent="0.3">
      <c r="B23" s="2" t="s">
        <v>67</v>
      </c>
      <c r="C23" s="2">
        <v>2023</v>
      </c>
      <c r="D23" s="3">
        <v>5983</v>
      </c>
      <c r="E23" s="3">
        <v>24801</v>
      </c>
      <c r="F23" s="16">
        <v>11766952.77</v>
      </c>
      <c r="G23" s="3">
        <v>2550</v>
      </c>
      <c r="H23" s="3">
        <v>11319</v>
      </c>
      <c r="I23" s="16">
        <v>6932392.7300000004</v>
      </c>
      <c r="J23" s="3">
        <v>161</v>
      </c>
      <c r="K23" s="3">
        <v>376</v>
      </c>
      <c r="L23" s="16">
        <v>302541.57</v>
      </c>
      <c r="M23" s="16">
        <v>19001887.07</v>
      </c>
      <c r="N23" s="3">
        <v>12455</v>
      </c>
      <c r="O23" s="15">
        <v>1525.6432814130872</v>
      </c>
      <c r="P23" s="45">
        <f t="shared" si="0"/>
        <v>0.69803291850662386</v>
      </c>
      <c r="Q23" s="48">
        <f t="shared" si="1"/>
        <v>19001887.07</v>
      </c>
    </row>
    <row r="24" spans="2:17" x14ac:dyDescent="0.3">
      <c r="B24" s="2" t="s">
        <v>68</v>
      </c>
      <c r="C24" s="2">
        <v>2023</v>
      </c>
      <c r="D24" s="3">
        <v>5925</v>
      </c>
      <c r="E24" s="3">
        <v>24198</v>
      </c>
      <c r="F24" s="16">
        <v>11747556.470000001</v>
      </c>
      <c r="G24" s="3">
        <v>2514</v>
      </c>
      <c r="H24" s="3">
        <v>11196</v>
      </c>
      <c r="I24" s="16">
        <v>6901305.6600000001</v>
      </c>
      <c r="J24" s="3">
        <v>161</v>
      </c>
      <c r="K24" s="3">
        <v>359</v>
      </c>
      <c r="L24" s="16">
        <v>291619.67</v>
      </c>
      <c r="M24" s="16">
        <v>18940481.800000004</v>
      </c>
      <c r="N24" s="3">
        <v>12394</v>
      </c>
      <c r="O24" s="15">
        <v>1528.1976601581414</v>
      </c>
      <c r="P24" s="45">
        <f t="shared" si="0"/>
        <v>0.69388413748588029</v>
      </c>
      <c r="Q24" s="48">
        <f t="shared" si="1"/>
        <v>18940481.800000004</v>
      </c>
    </row>
    <row r="25" spans="2:17" x14ac:dyDescent="0.3">
      <c r="B25" s="2" t="s">
        <v>69</v>
      </c>
      <c r="C25" s="2">
        <v>2023</v>
      </c>
      <c r="D25" s="3">
        <v>5894</v>
      </c>
      <c r="E25" s="3">
        <v>27087</v>
      </c>
      <c r="F25" s="16">
        <v>11767539.98</v>
      </c>
      <c r="G25" s="3">
        <v>2514</v>
      </c>
      <c r="H25" s="3">
        <v>12808</v>
      </c>
      <c r="I25" s="16">
        <v>6893697.2400000002</v>
      </c>
      <c r="J25" s="3">
        <v>149</v>
      </c>
      <c r="K25" s="3">
        <v>339</v>
      </c>
      <c r="L25" s="16">
        <v>278037.8</v>
      </c>
      <c r="M25" s="16">
        <v>18939275.02</v>
      </c>
      <c r="N25" s="3">
        <v>12382</v>
      </c>
      <c r="O25" s="15">
        <v>1529.5812485866579</v>
      </c>
      <c r="P25" s="45">
        <f t="shared" si="0"/>
        <v>0.69108383136811502</v>
      </c>
      <c r="Q25" s="48">
        <f t="shared" si="1"/>
        <v>18939275.02</v>
      </c>
    </row>
    <row r="26" spans="2:17" x14ac:dyDescent="0.3">
      <c r="B26" s="2" t="s">
        <v>70</v>
      </c>
      <c r="C26" s="2">
        <v>2023</v>
      </c>
      <c r="D26" s="3">
        <v>5876</v>
      </c>
      <c r="E26" s="3">
        <v>24484</v>
      </c>
      <c r="F26" s="16">
        <v>11713374.25</v>
      </c>
      <c r="G26" s="3">
        <v>2516</v>
      </c>
      <c r="H26" s="3">
        <v>11417</v>
      </c>
      <c r="I26" s="16">
        <v>6915591.8099999996</v>
      </c>
      <c r="J26" s="3">
        <v>147</v>
      </c>
      <c r="K26" s="3">
        <v>273</v>
      </c>
      <c r="L26" s="16">
        <v>273745.02</v>
      </c>
      <c r="M26" s="16">
        <v>18902711.079999998</v>
      </c>
      <c r="N26" s="3">
        <v>12361</v>
      </c>
      <c r="O26" s="15">
        <v>1529.2218331850172</v>
      </c>
      <c r="P26" s="45">
        <f t="shared" si="0"/>
        <v>0.69080171507159616</v>
      </c>
      <c r="Q26" s="48">
        <f t="shared" si="1"/>
        <v>18902711.079999998</v>
      </c>
    </row>
    <row r="27" spans="2:17" x14ac:dyDescent="0.3">
      <c r="B27" s="2" t="s">
        <v>71</v>
      </c>
      <c r="C27" s="2">
        <v>2023</v>
      </c>
      <c r="D27" s="3">
        <v>5842</v>
      </c>
      <c r="E27" s="3">
        <v>25607</v>
      </c>
      <c r="F27" s="16">
        <v>11614045.99</v>
      </c>
      <c r="G27" s="3">
        <v>2496</v>
      </c>
      <c r="H27" s="3">
        <v>12279</v>
      </c>
      <c r="I27" s="16">
        <v>6823226.46</v>
      </c>
      <c r="J27" s="3">
        <v>148</v>
      </c>
      <c r="K27" s="3">
        <v>339</v>
      </c>
      <c r="L27" s="16">
        <v>271082.14</v>
      </c>
      <c r="M27" s="16">
        <v>18708354.59</v>
      </c>
      <c r="N27" s="3">
        <v>12270</v>
      </c>
      <c r="O27" s="15">
        <v>1524.7232754686227</v>
      </c>
      <c r="P27" s="45">
        <f t="shared" si="0"/>
        <v>0.69160554197229018</v>
      </c>
      <c r="Q27" s="48">
        <f t="shared" si="1"/>
        <v>18708354.59</v>
      </c>
    </row>
    <row r="28" spans="2:17" x14ac:dyDescent="0.3">
      <c r="B28" s="2" t="s">
        <v>72</v>
      </c>
      <c r="C28" s="2">
        <v>2024</v>
      </c>
      <c r="D28" s="3">
        <v>5906</v>
      </c>
      <c r="E28" s="3">
        <v>24193</v>
      </c>
      <c r="F28" s="16">
        <v>11754370.609999999</v>
      </c>
      <c r="G28" s="3">
        <v>2481</v>
      </c>
      <c r="H28" s="3">
        <v>10959</v>
      </c>
      <c r="I28" s="16">
        <v>6788374.1500000004</v>
      </c>
      <c r="J28" s="3">
        <v>154</v>
      </c>
      <c r="K28" s="3">
        <v>350</v>
      </c>
      <c r="L28" s="16">
        <v>275356.45</v>
      </c>
      <c r="M28" s="16">
        <v>18818101.209999997</v>
      </c>
      <c r="N28" s="3">
        <v>12200</v>
      </c>
      <c r="O28" s="15">
        <v>1542.4673122950817</v>
      </c>
      <c r="P28" s="45">
        <f t="shared" si="0"/>
        <v>0.70008196721311478</v>
      </c>
      <c r="Q28" s="48">
        <f t="shared" si="1"/>
        <v>18818101.209999997</v>
      </c>
    </row>
    <row r="29" spans="2:17" x14ac:dyDescent="0.3">
      <c r="B29" s="2" t="s">
        <v>73</v>
      </c>
      <c r="C29" s="2">
        <v>2024</v>
      </c>
      <c r="D29" s="3">
        <v>5962</v>
      </c>
      <c r="E29" s="3">
        <v>24420</v>
      </c>
      <c r="F29" s="16">
        <v>11853011.810000001</v>
      </c>
      <c r="G29" s="3">
        <v>2502</v>
      </c>
      <c r="H29" s="3">
        <v>11176</v>
      </c>
      <c r="I29" s="16">
        <v>6798643.6100000003</v>
      </c>
      <c r="J29" s="3">
        <v>153</v>
      </c>
      <c r="K29" s="3">
        <v>350</v>
      </c>
      <c r="L29" s="16">
        <v>267342.28000000003</v>
      </c>
      <c r="M29" s="16">
        <v>18918997.700000003</v>
      </c>
      <c r="N29" s="3">
        <v>12125</v>
      </c>
      <c r="O29" s="15">
        <v>1560.3297072164951</v>
      </c>
      <c r="P29" s="45">
        <f t="shared" si="0"/>
        <v>0.710680412371134</v>
      </c>
      <c r="Q29" s="48">
        <f t="shared" si="1"/>
        <v>18918997.700000003</v>
      </c>
    </row>
    <row r="30" spans="2:17" x14ac:dyDescent="0.3">
      <c r="B30" s="2" t="s">
        <v>74</v>
      </c>
      <c r="C30" s="2">
        <v>2024</v>
      </c>
      <c r="D30" s="3">
        <v>6000</v>
      </c>
      <c r="E30" s="3">
        <v>24866</v>
      </c>
      <c r="F30" s="16">
        <v>11990467</v>
      </c>
      <c r="G30" s="3">
        <v>2523</v>
      </c>
      <c r="H30" s="3">
        <v>11510</v>
      </c>
      <c r="I30" s="16">
        <v>6867698.0700000003</v>
      </c>
      <c r="J30" s="3">
        <v>146</v>
      </c>
      <c r="K30" s="3">
        <v>341</v>
      </c>
      <c r="L30" s="16">
        <v>266637.39</v>
      </c>
      <c r="M30" s="16">
        <v>19124802.460000001</v>
      </c>
      <c r="N30" s="3">
        <v>12130</v>
      </c>
      <c r="O30" s="15">
        <v>1576.6531294311624</v>
      </c>
      <c r="P30" s="45">
        <f t="shared" si="0"/>
        <v>0.71467436108821103</v>
      </c>
      <c r="Q30" s="48">
        <f t="shared" si="1"/>
        <v>19124802.460000001</v>
      </c>
    </row>
    <row r="31" spans="2:17" x14ac:dyDescent="0.3">
      <c r="B31" s="2" t="s">
        <v>75</v>
      </c>
      <c r="C31" s="2">
        <v>2024</v>
      </c>
      <c r="D31" s="3">
        <v>6038</v>
      </c>
      <c r="E31" s="3">
        <v>24594</v>
      </c>
      <c r="F31" s="16">
        <v>12017984.41</v>
      </c>
      <c r="G31" s="3">
        <v>2517</v>
      </c>
      <c r="H31" s="3">
        <v>11461</v>
      </c>
      <c r="I31" s="16">
        <v>6922483.7699999996</v>
      </c>
      <c r="J31" s="3">
        <v>152</v>
      </c>
      <c r="K31" s="3">
        <v>329</v>
      </c>
      <c r="L31" s="16">
        <v>262512.86</v>
      </c>
      <c r="M31" s="16">
        <v>19202981.039999999</v>
      </c>
      <c r="N31" s="3">
        <v>12183</v>
      </c>
      <c r="O31" s="15">
        <v>1576.2111992120167</v>
      </c>
      <c r="P31" s="45">
        <f t="shared" si="0"/>
        <v>0.7146843962899122</v>
      </c>
      <c r="Q31" s="48">
        <f t="shared" si="1"/>
        <v>19202981.039999999</v>
      </c>
    </row>
    <row r="32" spans="2:17" x14ac:dyDescent="0.3">
      <c r="B32" s="2" t="s">
        <v>76</v>
      </c>
      <c r="C32" s="2">
        <v>2024</v>
      </c>
      <c r="D32" s="3">
        <v>6039</v>
      </c>
      <c r="E32" s="3">
        <v>25386</v>
      </c>
      <c r="F32" s="16">
        <v>12098901.710000001</v>
      </c>
      <c r="G32" s="3">
        <v>2527</v>
      </c>
      <c r="H32" s="3">
        <v>11704</v>
      </c>
      <c r="I32" s="16">
        <v>6854570.4100000001</v>
      </c>
      <c r="J32" s="3">
        <v>160</v>
      </c>
      <c r="K32" s="3">
        <v>425</v>
      </c>
      <c r="L32" s="16">
        <v>281409.03000000003</v>
      </c>
      <c r="M32" s="16">
        <v>19234881.150000002</v>
      </c>
      <c r="N32" s="3">
        <v>12190</v>
      </c>
      <c r="O32" s="15">
        <v>1577.9229819524203</v>
      </c>
      <c r="P32" s="45">
        <f t="shared" si="0"/>
        <v>0.71583264971287941</v>
      </c>
      <c r="Q32" s="48">
        <f t="shared" si="1"/>
        <v>19234881.150000002</v>
      </c>
    </row>
    <row r="33" spans="2:17" x14ac:dyDescent="0.3">
      <c r="B33" s="2" t="s">
        <v>77</v>
      </c>
      <c r="C33" s="2">
        <v>2024</v>
      </c>
      <c r="D33" s="3">
        <v>6028</v>
      </c>
      <c r="E33" s="3">
        <v>23951</v>
      </c>
      <c r="F33" s="16">
        <v>12016263.68</v>
      </c>
      <c r="G33" s="3">
        <v>2516</v>
      </c>
      <c r="H33" s="3">
        <v>11139</v>
      </c>
      <c r="I33" s="16">
        <v>6878168.8799999999</v>
      </c>
      <c r="J33" s="3">
        <v>167</v>
      </c>
      <c r="K33" s="3">
        <v>304</v>
      </c>
      <c r="L33" s="16">
        <v>271355.98</v>
      </c>
      <c r="M33" s="16">
        <v>19165788.539999999</v>
      </c>
      <c r="N33" s="3">
        <v>12154</v>
      </c>
      <c r="O33" s="15">
        <v>1576.9120075695243</v>
      </c>
      <c r="P33" s="45">
        <f t="shared" si="0"/>
        <v>0.71671877571169984</v>
      </c>
      <c r="Q33" s="48">
        <f t="shared" si="1"/>
        <v>19165788.539999999</v>
      </c>
    </row>
    <row r="34" spans="2:17" x14ac:dyDescent="0.3">
      <c r="B34" s="2" t="s">
        <v>78</v>
      </c>
      <c r="C34" s="2">
        <v>2024</v>
      </c>
      <c r="D34" s="3">
        <v>5325</v>
      </c>
      <c r="E34" s="3">
        <v>21637</v>
      </c>
      <c r="F34" s="16">
        <v>10701574.91</v>
      </c>
      <c r="G34" s="3">
        <v>2446</v>
      </c>
      <c r="H34" s="3">
        <v>10998</v>
      </c>
      <c r="I34" s="16">
        <v>6659616.9699999997</v>
      </c>
      <c r="J34" s="3">
        <v>186</v>
      </c>
      <c r="K34" s="3">
        <v>325</v>
      </c>
      <c r="L34" s="16">
        <v>327271.56</v>
      </c>
      <c r="M34" s="16">
        <v>17688463.439999998</v>
      </c>
      <c r="N34" s="3">
        <v>12175</v>
      </c>
      <c r="O34" s="15">
        <v>1452.8512065708417</v>
      </c>
      <c r="P34" s="45">
        <f t="shared" si="0"/>
        <v>0.6535523613963039</v>
      </c>
      <c r="Q34" s="48">
        <f t="shared" si="1"/>
        <v>17688463.439999998</v>
      </c>
    </row>
    <row r="35" spans="2:17" x14ac:dyDescent="0.3">
      <c r="B35" s="2" t="s">
        <v>79</v>
      </c>
      <c r="C35" s="2">
        <v>2024</v>
      </c>
      <c r="D35" s="3">
        <v>5436</v>
      </c>
      <c r="E35" s="3">
        <v>22123</v>
      </c>
      <c r="F35" s="16">
        <v>10814055.199999999</v>
      </c>
      <c r="G35" s="3">
        <v>2471</v>
      </c>
      <c r="H35" s="3">
        <v>11241</v>
      </c>
      <c r="I35" s="16">
        <v>6713521.2599999998</v>
      </c>
      <c r="J35" s="3">
        <v>196</v>
      </c>
      <c r="K35" s="3">
        <v>397</v>
      </c>
      <c r="L35" s="16">
        <v>331084.89</v>
      </c>
      <c r="M35" s="16">
        <v>17858661.350000001</v>
      </c>
      <c r="N35" s="3">
        <v>12168</v>
      </c>
      <c r="O35" s="15">
        <v>1467.6743384286656</v>
      </c>
      <c r="P35" s="45">
        <f t="shared" si="0"/>
        <v>0.66592702169625251</v>
      </c>
      <c r="Q35" s="48">
        <f t="shared" si="1"/>
        <v>17858661.350000001</v>
      </c>
    </row>
    <row r="36" spans="2:17" x14ac:dyDescent="0.3">
      <c r="B36" s="2" t="s">
        <v>80</v>
      </c>
      <c r="C36" s="2">
        <v>2024</v>
      </c>
      <c r="D36" s="3">
        <v>5506</v>
      </c>
      <c r="E36" s="3">
        <v>24289</v>
      </c>
      <c r="F36" s="16">
        <v>10916048.59</v>
      </c>
      <c r="G36" s="3">
        <v>2455</v>
      </c>
      <c r="H36" s="3">
        <v>12436</v>
      </c>
      <c r="I36" s="16">
        <v>6648787.0599999996</v>
      </c>
      <c r="J36" s="3">
        <v>201</v>
      </c>
      <c r="K36" s="3">
        <v>387</v>
      </c>
      <c r="L36" s="16">
        <v>357696.22</v>
      </c>
      <c r="M36" s="16">
        <v>17922531.869999997</v>
      </c>
      <c r="N36" s="3">
        <v>12162</v>
      </c>
      <c r="O36" s="15">
        <v>1473.6500468672914</v>
      </c>
      <c r="P36" s="45">
        <f t="shared" si="0"/>
        <v>0.67110672586745601</v>
      </c>
      <c r="Q36" s="48">
        <f t="shared" si="1"/>
        <v>17922531.869999997</v>
      </c>
    </row>
    <row r="37" spans="2:17" x14ac:dyDescent="0.3">
      <c r="B37" s="2" t="s">
        <v>81</v>
      </c>
      <c r="C37" s="2">
        <v>2024</v>
      </c>
      <c r="D37" s="3">
        <v>5530</v>
      </c>
      <c r="E37" s="3">
        <v>23042</v>
      </c>
      <c r="F37" s="16">
        <v>11067489.17</v>
      </c>
      <c r="G37" s="3">
        <v>2454</v>
      </c>
      <c r="H37" s="3">
        <v>11525</v>
      </c>
      <c r="I37" s="16">
        <v>6738535.2699999996</v>
      </c>
      <c r="J37" s="3">
        <v>202</v>
      </c>
      <c r="K37" s="3">
        <v>473</v>
      </c>
      <c r="L37" s="16">
        <v>333802.43</v>
      </c>
      <c r="M37" s="16">
        <v>18139826.869999997</v>
      </c>
      <c r="N37" s="3">
        <v>12167</v>
      </c>
      <c r="O37" s="15">
        <v>1490.9038275663679</v>
      </c>
      <c r="P37" s="45">
        <f t="shared" si="0"/>
        <v>0.67280348483603192</v>
      </c>
      <c r="Q37" s="48">
        <f t="shared" si="1"/>
        <v>18139826.869999997</v>
      </c>
    </row>
    <row r="38" spans="2:17" x14ac:dyDescent="0.3">
      <c r="B38" s="2" t="s">
        <v>82</v>
      </c>
      <c r="C38" s="2">
        <v>2024</v>
      </c>
      <c r="D38" s="3">
        <v>5579</v>
      </c>
      <c r="E38" s="3">
        <v>22670</v>
      </c>
      <c r="F38" s="16">
        <v>11124805.970000001</v>
      </c>
      <c r="G38" s="3">
        <v>2486</v>
      </c>
      <c r="H38" s="3">
        <v>11373</v>
      </c>
      <c r="I38" s="16">
        <v>6746519.0999999996</v>
      </c>
      <c r="J38" s="3">
        <v>200</v>
      </c>
      <c r="K38" s="3">
        <v>454</v>
      </c>
      <c r="L38" s="16">
        <v>349841.78</v>
      </c>
      <c r="M38" s="16">
        <v>18221166.850000001</v>
      </c>
      <c r="N38" s="3">
        <v>12107</v>
      </c>
      <c r="O38" s="15">
        <v>1505.010890393987</v>
      </c>
      <c r="P38" s="45">
        <f t="shared" si="0"/>
        <v>0.68266292227636904</v>
      </c>
      <c r="Q38" s="48">
        <f t="shared" si="1"/>
        <v>18221166.850000001</v>
      </c>
    </row>
    <row r="39" spans="2:17" x14ac:dyDescent="0.3">
      <c r="B39" s="2" t="s">
        <v>83</v>
      </c>
      <c r="C39" s="2">
        <v>2024</v>
      </c>
      <c r="D39" s="3">
        <v>5607</v>
      </c>
      <c r="E39" s="3">
        <v>26480</v>
      </c>
      <c r="F39" s="16">
        <v>11217576.74</v>
      </c>
      <c r="G39" s="3">
        <v>2495</v>
      </c>
      <c r="H39" s="3">
        <v>13819</v>
      </c>
      <c r="I39" s="16">
        <v>6707204.9800000004</v>
      </c>
      <c r="J39" s="3">
        <v>219</v>
      </c>
      <c r="K39" s="3">
        <v>461</v>
      </c>
      <c r="L39" s="16">
        <v>368745.83</v>
      </c>
      <c r="M39" s="16">
        <v>18293527.549999997</v>
      </c>
      <c r="N39" s="3">
        <v>12062</v>
      </c>
      <c r="O39" s="15">
        <v>1516.6247347040289</v>
      </c>
      <c r="P39" s="45">
        <f t="shared" si="0"/>
        <v>0.68985242911623279</v>
      </c>
      <c r="Q39" s="48">
        <f t="shared" si="1"/>
        <v>18293527.549999997</v>
      </c>
    </row>
    <row r="40" spans="2:17" x14ac:dyDescent="0.3">
      <c r="B40" s="2" t="s">
        <v>84</v>
      </c>
      <c r="C40" s="2">
        <v>2025</v>
      </c>
      <c r="D40" s="3">
        <v>5672</v>
      </c>
      <c r="E40" s="3">
        <v>23600</v>
      </c>
      <c r="F40" s="16">
        <v>11272407.49</v>
      </c>
      <c r="G40" s="3">
        <v>2481</v>
      </c>
      <c r="H40" s="3">
        <v>11769</v>
      </c>
      <c r="I40" s="16">
        <v>6708871.7800000003</v>
      </c>
      <c r="J40" s="3">
        <v>216</v>
      </c>
      <c r="K40" s="3">
        <v>542</v>
      </c>
      <c r="L40" s="16">
        <v>371249.35</v>
      </c>
      <c r="M40" s="16">
        <v>18352528.620000001</v>
      </c>
      <c r="N40" s="3">
        <v>11931</v>
      </c>
      <c r="O40" s="15">
        <v>1538.2221624339957</v>
      </c>
      <c r="P40" s="45">
        <f t="shared" si="0"/>
        <v>0.70145000419076353</v>
      </c>
      <c r="Q40" s="48">
        <f t="shared" si="1"/>
        <v>18352528.620000001</v>
      </c>
    </row>
    <row r="41" spans="2:17" x14ac:dyDescent="0.3">
      <c r="B41" s="2" t="s">
        <v>85</v>
      </c>
      <c r="C41" s="2">
        <v>2025</v>
      </c>
      <c r="D41" s="3">
        <v>5637</v>
      </c>
      <c r="E41" s="3">
        <v>22526</v>
      </c>
      <c r="F41" s="16">
        <v>11211220.140000001</v>
      </c>
      <c r="G41" s="3">
        <v>2467</v>
      </c>
      <c r="H41" s="3">
        <v>11192</v>
      </c>
      <c r="I41" s="16">
        <v>6698906.0999999996</v>
      </c>
      <c r="J41" s="3">
        <v>218</v>
      </c>
      <c r="K41" s="3">
        <v>498</v>
      </c>
      <c r="L41" s="16">
        <v>384910.22</v>
      </c>
      <c r="M41" s="16">
        <v>18295036.460000001</v>
      </c>
      <c r="N41" s="3">
        <v>11891</v>
      </c>
      <c r="O41" s="15">
        <v>1538.5616398957195</v>
      </c>
      <c r="P41" s="45">
        <f t="shared" si="0"/>
        <v>0.69985703473215033</v>
      </c>
      <c r="Q41" s="48">
        <f t="shared" si="1"/>
        <v>18295036.460000001</v>
      </c>
    </row>
    <row r="42" spans="2:17" x14ac:dyDescent="0.3">
      <c r="B42" s="2" t="s">
        <v>86</v>
      </c>
      <c r="C42" s="2">
        <v>2025</v>
      </c>
      <c r="D42" s="3">
        <v>5539</v>
      </c>
      <c r="E42" s="3">
        <v>24999</v>
      </c>
      <c r="F42" s="16">
        <v>11153477.390000001</v>
      </c>
      <c r="G42" s="3">
        <v>2468</v>
      </c>
      <c r="H42" s="3">
        <v>12813</v>
      </c>
      <c r="I42" s="16">
        <v>6709466.4199999999</v>
      </c>
      <c r="J42" s="3">
        <v>208</v>
      </c>
      <c r="K42" s="3">
        <v>491</v>
      </c>
      <c r="L42" s="16">
        <v>387720.74</v>
      </c>
      <c r="M42" s="16">
        <v>18250664.550000001</v>
      </c>
      <c r="N42" s="3">
        <v>11870</v>
      </c>
      <c r="O42" s="15">
        <v>1537.5454549283909</v>
      </c>
      <c r="P42" s="45">
        <f t="shared" si="0"/>
        <v>0.69208087615838243</v>
      </c>
      <c r="Q42" s="48">
        <f t="shared" si="1"/>
        <v>18250664.550000001</v>
      </c>
    </row>
    <row r="43" spans="2:17" x14ac:dyDescent="0.3">
      <c r="B43" s="2" t="s">
        <v>87</v>
      </c>
      <c r="C43" s="2">
        <v>2025</v>
      </c>
      <c r="D43" s="3">
        <v>5534</v>
      </c>
      <c r="E43" s="3">
        <v>23465</v>
      </c>
      <c r="F43" s="16">
        <v>11310549.82</v>
      </c>
      <c r="G43" s="3">
        <v>2463</v>
      </c>
      <c r="H43" s="3">
        <v>11926</v>
      </c>
      <c r="I43" s="16">
        <v>6783615.2199999997</v>
      </c>
      <c r="J43" s="3">
        <v>222</v>
      </c>
      <c r="K43" s="3">
        <v>590</v>
      </c>
      <c r="L43" s="16">
        <v>416881.9</v>
      </c>
      <c r="M43" s="16">
        <v>18511046.939999998</v>
      </c>
      <c r="N43" s="3">
        <v>11916</v>
      </c>
      <c r="O43" s="15">
        <v>1553.4614753272908</v>
      </c>
      <c r="P43" s="45">
        <f t="shared" si="0"/>
        <v>0.68974488083249408</v>
      </c>
      <c r="Q43" s="48">
        <f t="shared" si="1"/>
        <v>18511046.939999998</v>
      </c>
    </row>
    <row r="44" spans="2:17" x14ac:dyDescent="0.3">
      <c r="B44" s="2" t="s">
        <v>88</v>
      </c>
      <c r="C44" s="2">
        <v>2025</v>
      </c>
      <c r="D44" s="3">
        <v>5567</v>
      </c>
      <c r="E44" s="3">
        <v>23919</v>
      </c>
      <c r="F44" s="16">
        <v>11214302.24</v>
      </c>
      <c r="G44" s="3">
        <v>2499</v>
      </c>
      <c r="H44" s="3">
        <v>11926</v>
      </c>
      <c r="I44" s="16">
        <v>6772860.5499999998</v>
      </c>
      <c r="J44" s="3">
        <v>211</v>
      </c>
      <c r="K44" s="3">
        <v>584</v>
      </c>
      <c r="L44" s="16">
        <v>392595.47</v>
      </c>
      <c r="M44" s="16">
        <v>18379758.259999998</v>
      </c>
      <c r="N44" s="3">
        <v>11962</v>
      </c>
      <c r="O44" s="15">
        <v>1536.5121434542716</v>
      </c>
      <c r="P44" s="45">
        <f t="shared" si="0"/>
        <v>0.69194114696539044</v>
      </c>
      <c r="Q44" s="48">
        <f t="shared" si="1"/>
        <v>18379758.259999998</v>
      </c>
    </row>
    <row r="45" spans="2:17" x14ac:dyDescent="0.3">
      <c r="B45" s="2" t="s">
        <v>89</v>
      </c>
      <c r="C45" s="2">
        <v>2025</v>
      </c>
      <c r="D45" s="3">
        <v>5535</v>
      </c>
      <c r="E45" s="3">
        <v>26757</v>
      </c>
      <c r="F45" s="16">
        <v>11182115.109999999</v>
      </c>
      <c r="G45" s="3">
        <v>2524</v>
      </c>
      <c r="H45" s="3">
        <v>14469</v>
      </c>
      <c r="I45" s="16">
        <v>6897531.6299999999</v>
      </c>
      <c r="J45" s="3">
        <v>214</v>
      </c>
      <c r="K45" s="3">
        <v>613</v>
      </c>
      <c r="L45" s="16">
        <v>407303.59</v>
      </c>
      <c r="M45" s="16">
        <v>18486950.329999998</v>
      </c>
      <c r="N45" s="3">
        <v>11994</v>
      </c>
      <c r="O45" s="15">
        <v>1541.3498691012171</v>
      </c>
      <c r="P45" s="45">
        <f t="shared" si="0"/>
        <v>0.68976154744038687</v>
      </c>
      <c r="Q45" s="48">
        <f t="shared" si="1"/>
        <v>18486950.329999998</v>
      </c>
    </row>
    <row r="46" spans="2:17" x14ac:dyDescent="0.3">
      <c r="B46" s="2" t="s">
        <v>90</v>
      </c>
      <c r="C46" s="2">
        <v>2025</v>
      </c>
      <c r="D46" s="3">
        <v>5549</v>
      </c>
      <c r="E46" s="3">
        <v>24500</v>
      </c>
      <c r="F46" s="16">
        <v>11154619.109999999</v>
      </c>
      <c r="G46" s="3">
        <v>2513</v>
      </c>
      <c r="H46" s="3">
        <v>12666</v>
      </c>
      <c r="I46" s="16">
        <v>6886541.3499999996</v>
      </c>
      <c r="J46" s="3">
        <v>204</v>
      </c>
      <c r="K46" s="3">
        <v>667</v>
      </c>
      <c r="L46" s="16">
        <v>381390.65</v>
      </c>
      <c r="M46" s="16">
        <v>18422551.109999999</v>
      </c>
      <c r="N46" s="3">
        <v>12030</v>
      </c>
      <c r="O46" s="15">
        <v>1531.3841321695761</v>
      </c>
      <c r="P46" s="45">
        <f t="shared" si="0"/>
        <v>0.68711554447215295</v>
      </c>
      <c r="Q46" s="48">
        <f t="shared" si="1"/>
        <v>18422551.109999999</v>
      </c>
    </row>
    <row r="47" spans="2:17" x14ac:dyDescent="0.3">
      <c r="B47" s="2" t="s">
        <v>91</v>
      </c>
      <c r="C47" s="2">
        <v>2025</v>
      </c>
      <c r="D47" s="3">
        <v>5551</v>
      </c>
      <c r="E47" s="3">
        <v>24352</v>
      </c>
      <c r="F47" s="16">
        <v>11209490</v>
      </c>
      <c r="G47" s="3">
        <v>2532</v>
      </c>
      <c r="H47" s="3">
        <v>12560</v>
      </c>
      <c r="I47" s="16">
        <v>6930150.1900000004</v>
      </c>
      <c r="J47" s="3">
        <v>204</v>
      </c>
      <c r="K47" s="3">
        <v>617</v>
      </c>
      <c r="L47" s="16">
        <v>386461.62</v>
      </c>
      <c r="M47" s="16">
        <v>18526101.810000002</v>
      </c>
      <c r="N47" s="3">
        <v>11995</v>
      </c>
      <c r="O47" s="15">
        <v>1544.4853530637768</v>
      </c>
      <c r="P47" s="45">
        <f t="shared" si="0"/>
        <v>0.69087119633180494</v>
      </c>
      <c r="Q47" s="48">
        <f t="shared" si="1"/>
        <v>18526101.810000002</v>
      </c>
    </row>
    <row r="48" spans="2:17" x14ac:dyDescent="0.3">
      <c r="B48" s="2" t="s">
        <v>92</v>
      </c>
      <c r="C48" s="2">
        <v>2025</v>
      </c>
      <c r="D48" s="3">
        <v>5539</v>
      </c>
      <c r="E48" s="3">
        <v>24016</v>
      </c>
      <c r="F48" s="16">
        <v>11222958.300000001</v>
      </c>
      <c r="G48" s="3">
        <v>2489</v>
      </c>
      <c r="H48" s="3">
        <v>12161</v>
      </c>
      <c r="I48" s="16">
        <v>6853559.3099999996</v>
      </c>
      <c r="J48" s="3">
        <v>203</v>
      </c>
      <c r="K48" s="3">
        <v>609</v>
      </c>
      <c r="L48" s="16">
        <v>376415.42</v>
      </c>
      <c r="M48" s="16">
        <v>18452933.030000001</v>
      </c>
      <c r="N48" s="3">
        <v>12047</v>
      </c>
      <c r="O48" s="15">
        <v>1531.7450842533412</v>
      </c>
      <c r="P48" s="45">
        <f t="shared" si="0"/>
        <v>0.68324064082344149</v>
      </c>
      <c r="Q48" s="48">
        <f t="shared" si="1"/>
        <v>18452933.030000001</v>
      </c>
    </row>
    <row r="49" spans="2:17" x14ac:dyDescent="0.3">
      <c r="B49" s="2" t="s">
        <v>93</v>
      </c>
      <c r="C49" s="2">
        <v>2025</v>
      </c>
      <c r="D49" s="3">
        <v>5537</v>
      </c>
      <c r="E49" s="3">
        <v>24607</v>
      </c>
      <c r="F49" s="16">
        <v>11189656.699999999</v>
      </c>
      <c r="G49" s="3">
        <v>2516</v>
      </c>
      <c r="H49" s="3">
        <v>12404</v>
      </c>
      <c r="I49" s="16">
        <v>6877747.1399999997</v>
      </c>
      <c r="J49" s="3">
        <v>231</v>
      </c>
      <c r="K49" s="3">
        <v>736</v>
      </c>
      <c r="L49" s="16">
        <v>442018.68</v>
      </c>
      <c r="M49" s="16">
        <v>18509422.52</v>
      </c>
      <c r="N49" s="3">
        <v>12073</v>
      </c>
      <c r="O49" s="15">
        <v>1533.125364035451</v>
      </c>
      <c r="P49" s="45">
        <f t="shared" si="0"/>
        <v>0.68615919821088378</v>
      </c>
      <c r="Q49" s="48">
        <f t="shared" si="1"/>
        <v>18509422.52</v>
      </c>
    </row>
    <row r="50" spans="2:17" x14ac:dyDescent="0.3">
      <c r="B50" s="2" t="s">
        <v>94</v>
      </c>
      <c r="C50" s="2">
        <v>2025</v>
      </c>
      <c r="D50" s="3">
        <v>5510</v>
      </c>
      <c r="E50" s="3">
        <v>23939</v>
      </c>
      <c r="F50" s="16">
        <v>11179033.550000001</v>
      </c>
      <c r="G50" s="3">
        <v>2507</v>
      </c>
      <c r="H50" s="3">
        <v>12203</v>
      </c>
      <c r="I50" s="16">
        <v>6833668.79</v>
      </c>
      <c r="J50" s="3">
        <v>220</v>
      </c>
      <c r="K50" s="3">
        <v>649</v>
      </c>
      <c r="L50" s="16">
        <v>415471.79</v>
      </c>
      <c r="M50" s="16">
        <v>18428174.129999999</v>
      </c>
      <c r="N50" s="3">
        <v>12035</v>
      </c>
      <c r="O50" s="15">
        <v>1531.2151333610302</v>
      </c>
      <c r="P50" s="45">
        <f t="shared" si="0"/>
        <v>0.6844204403822185</v>
      </c>
      <c r="Q50" s="48">
        <f t="shared" si="1"/>
        <v>18428174.129999999</v>
      </c>
    </row>
    <row r="51" spans="2:17" x14ac:dyDescent="0.3">
      <c r="B51" s="2" t="s">
        <v>95</v>
      </c>
      <c r="C51" s="2">
        <v>2025</v>
      </c>
      <c r="D51" s="3">
        <v>5492</v>
      </c>
      <c r="E51" s="3">
        <v>24710</v>
      </c>
      <c r="F51" s="16">
        <v>11020564.08</v>
      </c>
      <c r="G51" s="3">
        <v>2485</v>
      </c>
      <c r="H51" s="3">
        <v>12626</v>
      </c>
      <c r="I51" s="16">
        <v>6729247.4100000001</v>
      </c>
      <c r="J51" s="3">
        <v>208</v>
      </c>
      <c r="K51" s="3">
        <v>598</v>
      </c>
      <c r="L51" s="16">
        <v>381576.6</v>
      </c>
      <c r="M51" s="16">
        <v>18131388.090000004</v>
      </c>
      <c r="N51" s="3">
        <v>11993</v>
      </c>
      <c r="O51" s="15">
        <v>1511.830908863504</v>
      </c>
      <c r="P51" s="45">
        <f t="shared" si="0"/>
        <v>0.68248144751104811</v>
      </c>
      <c r="Q51" s="48">
        <f t="shared" si="1"/>
        <v>18131388.090000004</v>
      </c>
    </row>
    <row r="52" spans="2:17" x14ac:dyDescent="0.3">
      <c r="B52" s="2" t="s">
        <v>96</v>
      </c>
      <c r="C52" s="2">
        <v>2026</v>
      </c>
      <c r="D52" s="3">
        <v>5454</v>
      </c>
      <c r="E52" s="3">
        <v>54742</v>
      </c>
      <c r="F52" s="16">
        <v>10924437.66</v>
      </c>
      <c r="G52" s="3">
        <v>2475</v>
      </c>
      <c r="H52" s="3">
        <v>24409</v>
      </c>
      <c r="I52" s="16">
        <v>6704885.0099999998</v>
      </c>
      <c r="J52" s="3">
        <v>190</v>
      </c>
      <c r="K52" s="3">
        <v>606</v>
      </c>
      <c r="L52" s="16">
        <v>350434.49</v>
      </c>
      <c r="M52" s="16">
        <v>17979757.16</v>
      </c>
      <c r="N52" s="3">
        <v>11948</v>
      </c>
      <c r="O52" s="15">
        <v>1504.8340441914966</v>
      </c>
      <c r="P52" s="45">
        <f t="shared" si="0"/>
        <v>0.67952795446936731</v>
      </c>
      <c r="Q52" s="48">
        <f t="shared" si="1"/>
        <v>17979757.16</v>
      </c>
    </row>
    <row r="53" spans="2:17" x14ac:dyDescent="0.3">
      <c r="B53" s="2" t="s">
        <v>97</v>
      </c>
      <c r="C53" s="2">
        <v>2026</v>
      </c>
      <c r="D53" s="3">
        <v>5422</v>
      </c>
      <c r="E53" s="3">
        <v>50871</v>
      </c>
      <c r="F53" s="16">
        <v>10850580.73</v>
      </c>
      <c r="G53" s="3">
        <v>2463</v>
      </c>
      <c r="H53" s="3">
        <v>22929</v>
      </c>
      <c r="I53" s="16">
        <v>6694210.6500000004</v>
      </c>
      <c r="J53" s="3">
        <v>202</v>
      </c>
      <c r="K53" s="3">
        <v>597</v>
      </c>
      <c r="L53" s="16">
        <v>365780.93</v>
      </c>
      <c r="M53" s="16">
        <v>17910572.310000002</v>
      </c>
      <c r="N53" s="3">
        <v>11809</v>
      </c>
      <c r="O53" s="15">
        <v>1516.6883148446102</v>
      </c>
      <c r="P53" s="45">
        <f t="shared" si="0"/>
        <v>0.68481666525531371</v>
      </c>
      <c r="Q53" s="48">
        <f t="shared" si="1"/>
        <v>17910572.310000002</v>
      </c>
    </row>
    <row r="54" spans="2:17" x14ac:dyDescent="0.3">
      <c r="B54" s="2" t="s">
        <v>98</v>
      </c>
      <c r="C54" s="2">
        <v>2026</v>
      </c>
      <c r="D54" s="3">
        <v>5410</v>
      </c>
      <c r="E54" s="3">
        <v>57699</v>
      </c>
      <c r="F54" s="16">
        <v>10932509.859999999</v>
      </c>
      <c r="G54" s="3">
        <v>2436</v>
      </c>
      <c r="H54" s="3">
        <v>25948</v>
      </c>
      <c r="I54" s="16">
        <v>6725873.5199999996</v>
      </c>
      <c r="J54" s="3">
        <v>191</v>
      </c>
      <c r="K54" s="3">
        <v>603</v>
      </c>
      <c r="L54" s="16">
        <v>357814.4</v>
      </c>
      <c r="M54" s="16">
        <v>18016197.779999997</v>
      </c>
      <c r="N54" s="3">
        <v>11729</v>
      </c>
      <c r="O54" s="15">
        <v>1536.0386887202658</v>
      </c>
      <c r="P54" s="45">
        <f t="shared" si="0"/>
        <v>0.68522465683348965</v>
      </c>
      <c r="Q54" s="48">
        <f t="shared" si="1"/>
        <v>18016197.779999997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E5C12-B2A9-453B-AD9C-C529E5F136A1}">
  <sheetPr>
    <tabColor theme="1"/>
  </sheetPr>
  <dimension ref="B3:T54"/>
  <sheetViews>
    <sheetView topLeftCell="A3" zoomScaleNormal="100" workbookViewId="0">
      <selection activeCell="G16" sqref="G16"/>
    </sheetView>
  </sheetViews>
  <sheetFormatPr defaultRowHeight="13.8" x14ac:dyDescent="0.3"/>
  <cols>
    <col min="4" max="4" width="9.33203125" bestFit="1" customWidth="1"/>
    <col min="5" max="5" width="10" bestFit="1" customWidth="1"/>
    <col min="6" max="6" width="13.5546875" bestFit="1" customWidth="1"/>
    <col min="9" max="9" width="11" bestFit="1" customWidth="1"/>
    <col min="12" max="12" width="13.109375" bestFit="1" customWidth="1"/>
    <col min="15" max="15" width="13.109375" bestFit="1" customWidth="1"/>
    <col min="16" max="16" width="14.5546875" bestFit="1" customWidth="1"/>
    <col min="18" max="18" width="10" bestFit="1" customWidth="1"/>
    <col min="20" max="20" width="12" bestFit="1" customWidth="1"/>
  </cols>
  <sheetData>
    <row r="3" spans="2:20" ht="41.4" x14ac:dyDescent="0.3">
      <c r="B3" s="61" t="s">
        <v>39</v>
      </c>
      <c r="C3" s="61" t="s">
        <v>40</v>
      </c>
      <c r="D3" s="61" t="s">
        <v>99</v>
      </c>
      <c r="E3" s="61" t="s">
        <v>100</v>
      </c>
      <c r="F3" s="61" t="s">
        <v>101</v>
      </c>
      <c r="G3" s="61" t="s">
        <v>102</v>
      </c>
      <c r="H3" s="61" t="s">
        <v>103</v>
      </c>
      <c r="I3" s="61" t="s">
        <v>104</v>
      </c>
      <c r="J3" s="61" t="s">
        <v>105</v>
      </c>
      <c r="K3" s="61" t="s">
        <v>106</v>
      </c>
      <c r="L3" s="61" t="s">
        <v>107</v>
      </c>
      <c r="M3" s="61" t="s">
        <v>115</v>
      </c>
      <c r="N3" s="61" t="s">
        <v>116</v>
      </c>
      <c r="O3" s="61" t="s">
        <v>117</v>
      </c>
      <c r="P3" s="61" t="s">
        <v>108</v>
      </c>
      <c r="Q3" s="61" t="s">
        <v>114</v>
      </c>
      <c r="R3" s="61" t="s">
        <v>110</v>
      </c>
      <c r="S3" s="62" t="s">
        <v>111</v>
      </c>
      <c r="T3" s="62" t="s">
        <v>112</v>
      </c>
    </row>
    <row r="4" spans="2:20" x14ac:dyDescent="0.3">
      <c r="B4" s="2" t="s">
        <v>48</v>
      </c>
      <c r="C4" s="2">
        <v>2022</v>
      </c>
      <c r="D4" s="3">
        <v>5020</v>
      </c>
      <c r="E4" s="3">
        <v>21444</v>
      </c>
      <c r="F4" s="16">
        <v>9943833.2899999991</v>
      </c>
      <c r="G4" s="3">
        <v>2043</v>
      </c>
      <c r="H4" s="3">
        <v>9431</v>
      </c>
      <c r="I4" s="16">
        <v>5593830.46</v>
      </c>
      <c r="J4" s="3">
        <v>135</v>
      </c>
      <c r="K4" s="3">
        <v>269</v>
      </c>
      <c r="L4" s="16">
        <v>250717.68</v>
      </c>
      <c r="M4" s="3">
        <v>444</v>
      </c>
      <c r="N4" s="3">
        <v>1040</v>
      </c>
      <c r="O4" s="16">
        <v>798151.86</v>
      </c>
      <c r="P4" s="16">
        <v>16586533.289999999</v>
      </c>
      <c r="Q4" s="3">
        <v>10236</v>
      </c>
      <c r="R4" s="15">
        <v>1620.4116148886283</v>
      </c>
      <c r="S4" s="45">
        <f>(D4+G4+J4)/Q4</f>
        <v>0.70320437670965219</v>
      </c>
      <c r="T4" s="48">
        <f>F4+I4+L4+O4</f>
        <v>16586533.289999999</v>
      </c>
    </row>
    <row r="5" spans="2:20" x14ac:dyDescent="0.3">
      <c r="B5" s="2" t="s">
        <v>49</v>
      </c>
      <c r="C5" s="2">
        <v>2022</v>
      </c>
      <c r="D5" s="3">
        <v>4993</v>
      </c>
      <c r="E5" s="3">
        <v>18726</v>
      </c>
      <c r="F5" s="16">
        <v>9824558.0199999996</v>
      </c>
      <c r="G5" s="3">
        <v>2061</v>
      </c>
      <c r="H5" s="3">
        <v>8338</v>
      </c>
      <c r="I5" s="16">
        <v>5664630.79</v>
      </c>
      <c r="J5" s="3">
        <v>126</v>
      </c>
      <c r="K5" s="3">
        <v>245</v>
      </c>
      <c r="L5" s="16">
        <v>221666.95</v>
      </c>
      <c r="M5" s="3">
        <v>444</v>
      </c>
      <c r="N5" s="3">
        <v>1035</v>
      </c>
      <c r="O5" s="16">
        <v>802703.34</v>
      </c>
      <c r="P5" s="16">
        <v>16513559.099999998</v>
      </c>
      <c r="Q5" s="3">
        <v>10134</v>
      </c>
      <c r="R5" s="15">
        <v>1629.5203374777973</v>
      </c>
      <c r="S5" s="45">
        <f t="shared" ref="S5:S54" si="0">(D5+G5+J5)/Q5</f>
        <v>0.70850601934083279</v>
      </c>
      <c r="T5" s="48">
        <f t="shared" ref="T5:T54" si="1">F5+I5+L5+O5</f>
        <v>16513559.099999998</v>
      </c>
    </row>
    <row r="6" spans="2:20" x14ac:dyDescent="0.3">
      <c r="B6" s="2" t="s">
        <v>50</v>
      </c>
      <c r="C6" s="2">
        <v>2022</v>
      </c>
      <c r="D6" s="3">
        <v>5063</v>
      </c>
      <c r="E6" s="3">
        <v>20444</v>
      </c>
      <c r="F6" s="16">
        <v>9235678.5500000007</v>
      </c>
      <c r="G6" s="3">
        <v>2105</v>
      </c>
      <c r="H6" s="3">
        <v>9082</v>
      </c>
      <c r="I6" s="16">
        <v>5334520.71</v>
      </c>
      <c r="J6" s="3">
        <v>138</v>
      </c>
      <c r="K6" s="3">
        <v>277</v>
      </c>
      <c r="L6" s="16">
        <v>219547.23</v>
      </c>
      <c r="M6" s="3">
        <v>453</v>
      </c>
      <c r="N6" s="3">
        <v>1103</v>
      </c>
      <c r="O6" s="16">
        <v>778032.74</v>
      </c>
      <c r="P6" s="16">
        <v>15567779.230000002</v>
      </c>
      <c r="Q6" s="3">
        <v>10130</v>
      </c>
      <c r="R6" s="15">
        <v>1536.7995291214218</v>
      </c>
      <c r="S6" s="45">
        <f t="shared" si="0"/>
        <v>0.72122408687068118</v>
      </c>
      <c r="T6" s="48">
        <f t="shared" si="1"/>
        <v>15567779.230000002</v>
      </c>
    </row>
    <row r="7" spans="2:20" x14ac:dyDescent="0.3">
      <c r="B7" s="2" t="s">
        <v>51</v>
      </c>
      <c r="C7" s="2">
        <v>2022</v>
      </c>
      <c r="D7" s="3">
        <v>5111</v>
      </c>
      <c r="E7" s="3">
        <v>20478</v>
      </c>
      <c r="F7" s="16">
        <v>10092116.449999999</v>
      </c>
      <c r="G7" s="3">
        <v>2119</v>
      </c>
      <c r="H7" s="3">
        <v>9124</v>
      </c>
      <c r="I7" s="16">
        <v>5868438.7300000004</v>
      </c>
      <c r="J7" s="3">
        <v>138</v>
      </c>
      <c r="K7" s="3">
        <v>287</v>
      </c>
      <c r="L7" s="16">
        <v>249329.76</v>
      </c>
      <c r="M7" s="3">
        <v>459</v>
      </c>
      <c r="N7" s="3">
        <v>1114</v>
      </c>
      <c r="O7" s="16">
        <v>833957.36</v>
      </c>
      <c r="P7" s="16">
        <v>17043842.300000001</v>
      </c>
      <c r="Q7" s="3">
        <v>10016</v>
      </c>
      <c r="R7" s="15">
        <v>1701.661571485623</v>
      </c>
      <c r="S7" s="45">
        <f t="shared" si="0"/>
        <v>0.73562300319488816</v>
      </c>
      <c r="T7" s="48">
        <f t="shared" si="1"/>
        <v>17043842.300000001</v>
      </c>
    </row>
    <row r="8" spans="2:20" x14ac:dyDescent="0.3">
      <c r="B8" s="2" t="s">
        <v>52</v>
      </c>
      <c r="C8" s="2">
        <v>2022</v>
      </c>
      <c r="D8" s="3">
        <v>5094</v>
      </c>
      <c r="E8" s="3">
        <v>23044</v>
      </c>
      <c r="F8" s="16">
        <v>10184088.390000001</v>
      </c>
      <c r="G8" s="3">
        <v>2126</v>
      </c>
      <c r="H8" s="3">
        <v>10605</v>
      </c>
      <c r="I8" s="16">
        <v>5875482.0199999996</v>
      </c>
      <c r="J8" s="3">
        <v>137</v>
      </c>
      <c r="K8" s="3">
        <v>283</v>
      </c>
      <c r="L8" s="16">
        <v>245178.32</v>
      </c>
      <c r="M8" s="3">
        <v>452</v>
      </c>
      <c r="N8" s="3">
        <v>1094</v>
      </c>
      <c r="O8" s="16">
        <v>839796.67</v>
      </c>
      <c r="P8" s="16">
        <v>17144545.400000002</v>
      </c>
      <c r="Q8" s="3">
        <v>9991</v>
      </c>
      <c r="R8" s="15">
        <v>1715.9989390451408</v>
      </c>
      <c r="S8" s="45">
        <f t="shared" si="0"/>
        <v>0.7363627264538084</v>
      </c>
      <c r="T8" s="48">
        <f t="shared" si="1"/>
        <v>17144545.400000002</v>
      </c>
    </row>
    <row r="9" spans="2:20" x14ac:dyDescent="0.3">
      <c r="B9" s="2" t="s">
        <v>53</v>
      </c>
      <c r="C9" s="2">
        <v>2022</v>
      </c>
      <c r="D9" s="3">
        <v>5128</v>
      </c>
      <c r="E9" s="3">
        <v>21016</v>
      </c>
      <c r="F9" s="16">
        <v>10194589.68</v>
      </c>
      <c r="G9" s="3">
        <v>2155</v>
      </c>
      <c r="H9" s="3">
        <v>9701</v>
      </c>
      <c r="I9" s="16">
        <v>6025770.0499999998</v>
      </c>
      <c r="J9" s="3">
        <v>140</v>
      </c>
      <c r="K9" s="3">
        <v>310</v>
      </c>
      <c r="L9" s="16">
        <v>257589.5</v>
      </c>
      <c r="M9" s="3">
        <v>452</v>
      </c>
      <c r="N9" s="3">
        <v>1070</v>
      </c>
      <c r="O9" s="16">
        <v>832479.9</v>
      </c>
      <c r="P9" s="16">
        <v>17310429.129999999</v>
      </c>
      <c r="Q9" s="3">
        <v>10000</v>
      </c>
      <c r="R9" s="15">
        <v>1731.042913</v>
      </c>
      <c r="S9" s="45">
        <f t="shared" si="0"/>
        <v>0.74229999999999996</v>
      </c>
      <c r="T9" s="48">
        <f t="shared" si="1"/>
        <v>17310429.129999999</v>
      </c>
    </row>
    <row r="10" spans="2:20" x14ac:dyDescent="0.3">
      <c r="B10" s="2" t="s">
        <v>54</v>
      </c>
      <c r="C10" s="2">
        <v>2022</v>
      </c>
      <c r="D10" s="3">
        <v>5079</v>
      </c>
      <c r="E10" s="3">
        <v>20838</v>
      </c>
      <c r="F10" s="16">
        <v>10243972.470000001</v>
      </c>
      <c r="G10" s="3">
        <v>2164</v>
      </c>
      <c r="H10" s="3">
        <v>9588</v>
      </c>
      <c r="I10" s="16">
        <v>6032893.9900000002</v>
      </c>
      <c r="J10" s="3">
        <v>138</v>
      </c>
      <c r="K10" s="3">
        <v>299</v>
      </c>
      <c r="L10" s="16">
        <v>256435</v>
      </c>
      <c r="M10" s="3">
        <v>449</v>
      </c>
      <c r="N10" s="3">
        <v>1081</v>
      </c>
      <c r="O10" s="16">
        <v>835625.02</v>
      </c>
      <c r="P10" s="16">
        <v>17368926.48</v>
      </c>
      <c r="Q10" s="3">
        <v>9895</v>
      </c>
      <c r="R10" s="15">
        <v>1755.3235452248612</v>
      </c>
      <c r="S10" s="45">
        <f t="shared" si="0"/>
        <v>0.74593228903486608</v>
      </c>
      <c r="T10" s="48">
        <f t="shared" si="1"/>
        <v>17368926.48</v>
      </c>
    </row>
    <row r="11" spans="2:20" x14ac:dyDescent="0.3">
      <c r="B11" s="2" t="s">
        <v>55</v>
      </c>
      <c r="C11" s="2">
        <v>2022</v>
      </c>
      <c r="D11" s="3">
        <v>5129</v>
      </c>
      <c r="E11" s="3">
        <v>20844</v>
      </c>
      <c r="F11" s="16">
        <v>10271828.109999999</v>
      </c>
      <c r="G11" s="3">
        <v>2182</v>
      </c>
      <c r="H11" s="3">
        <v>9615</v>
      </c>
      <c r="I11" s="16">
        <v>6042151.7199999997</v>
      </c>
      <c r="J11" s="3">
        <v>133</v>
      </c>
      <c r="K11" s="3">
        <v>270</v>
      </c>
      <c r="L11" s="16">
        <v>245594.29</v>
      </c>
      <c r="M11" s="3">
        <v>450</v>
      </c>
      <c r="N11" s="3">
        <v>1054</v>
      </c>
      <c r="O11" s="16">
        <v>835475.18</v>
      </c>
      <c r="P11" s="16">
        <v>17395049.299999997</v>
      </c>
      <c r="Q11" s="3">
        <v>9948</v>
      </c>
      <c r="R11" s="15">
        <v>1748.5976377161235</v>
      </c>
      <c r="S11" s="45">
        <f t="shared" si="0"/>
        <v>0.74829111379171698</v>
      </c>
      <c r="T11" s="48">
        <f t="shared" si="1"/>
        <v>17395049.299999997</v>
      </c>
    </row>
    <row r="12" spans="2:20" x14ac:dyDescent="0.3">
      <c r="B12" s="2" t="s">
        <v>56</v>
      </c>
      <c r="C12" s="2">
        <v>2022</v>
      </c>
      <c r="D12" s="3">
        <v>5158</v>
      </c>
      <c r="E12" s="3">
        <v>21037</v>
      </c>
      <c r="F12" s="16">
        <v>10306644.699999999</v>
      </c>
      <c r="G12" s="3">
        <v>2203</v>
      </c>
      <c r="H12" s="3">
        <v>9641</v>
      </c>
      <c r="I12" s="16">
        <v>6097719.4299999997</v>
      </c>
      <c r="J12" s="3">
        <v>148</v>
      </c>
      <c r="K12" s="3">
        <v>289</v>
      </c>
      <c r="L12" s="16">
        <v>265178.88</v>
      </c>
      <c r="M12" s="3">
        <v>450</v>
      </c>
      <c r="N12" s="3">
        <v>1069</v>
      </c>
      <c r="O12" s="16">
        <v>819946.34</v>
      </c>
      <c r="P12" s="16">
        <v>17489489.350000001</v>
      </c>
      <c r="Q12" s="3">
        <v>9913</v>
      </c>
      <c r="R12" s="15">
        <v>1764.2983304751338</v>
      </c>
      <c r="S12" s="45">
        <f t="shared" si="0"/>
        <v>0.75749016443054573</v>
      </c>
      <c r="T12" s="48">
        <f t="shared" si="1"/>
        <v>17489489.350000001</v>
      </c>
    </row>
    <row r="13" spans="2:20" x14ac:dyDescent="0.3">
      <c r="B13" s="2" t="s">
        <v>57</v>
      </c>
      <c r="C13" s="2">
        <v>2022</v>
      </c>
      <c r="D13" s="3">
        <v>5181</v>
      </c>
      <c r="E13" s="3">
        <v>23541</v>
      </c>
      <c r="F13" s="16">
        <v>10346565.74</v>
      </c>
      <c r="G13" s="3">
        <v>2265</v>
      </c>
      <c r="H13" s="3">
        <v>11194</v>
      </c>
      <c r="I13" s="16">
        <v>6216356.9699999997</v>
      </c>
      <c r="J13" s="3">
        <v>154</v>
      </c>
      <c r="K13" s="3">
        <v>321</v>
      </c>
      <c r="L13" s="16">
        <v>290843.84000000003</v>
      </c>
      <c r="M13" s="3">
        <v>448</v>
      </c>
      <c r="N13" s="3">
        <v>1052</v>
      </c>
      <c r="O13" s="16">
        <v>832102.08</v>
      </c>
      <c r="P13" s="16">
        <v>17685868.629999999</v>
      </c>
      <c r="Q13" s="3">
        <v>9942</v>
      </c>
      <c r="R13" s="15">
        <v>1778.9045091530877</v>
      </c>
      <c r="S13" s="45">
        <f t="shared" si="0"/>
        <v>0.76443371555019113</v>
      </c>
      <c r="T13" s="48">
        <f t="shared" si="1"/>
        <v>17685868.629999999</v>
      </c>
    </row>
    <row r="14" spans="2:20" x14ac:dyDescent="0.3">
      <c r="B14" s="2" t="s">
        <v>58</v>
      </c>
      <c r="C14" s="2">
        <v>2022</v>
      </c>
      <c r="D14" s="3">
        <v>5049</v>
      </c>
      <c r="E14" s="3">
        <v>20825</v>
      </c>
      <c r="F14" s="16">
        <v>10089109.810000001</v>
      </c>
      <c r="G14" s="3">
        <v>2273</v>
      </c>
      <c r="H14" s="3">
        <v>9961</v>
      </c>
      <c r="I14" s="16">
        <v>6253965.9400000004</v>
      </c>
      <c r="J14" s="3">
        <v>146</v>
      </c>
      <c r="K14" s="3">
        <v>262</v>
      </c>
      <c r="L14" s="16">
        <v>276078.76</v>
      </c>
      <c r="M14" s="3">
        <v>452</v>
      </c>
      <c r="N14" s="3">
        <v>1011</v>
      </c>
      <c r="O14" s="16">
        <v>840484.59</v>
      </c>
      <c r="P14" s="16">
        <v>17459639.100000001</v>
      </c>
      <c r="Q14" s="3">
        <v>9952</v>
      </c>
      <c r="R14" s="15">
        <v>1754.3849577974279</v>
      </c>
      <c r="S14" s="45">
        <f t="shared" si="0"/>
        <v>0.75040192926045013</v>
      </c>
      <c r="T14" s="48">
        <f t="shared" si="1"/>
        <v>17459639.100000001</v>
      </c>
    </row>
    <row r="15" spans="2:20" x14ac:dyDescent="0.3">
      <c r="B15" s="2" t="s">
        <v>59</v>
      </c>
      <c r="C15" s="2">
        <v>2022</v>
      </c>
      <c r="D15" s="3">
        <v>5060</v>
      </c>
      <c r="E15" s="3">
        <v>20789</v>
      </c>
      <c r="F15" s="16">
        <v>10116056.24</v>
      </c>
      <c r="G15" s="3">
        <v>2278</v>
      </c>
      <c r="H15" s="3">
        <v>9966</v>
      </c>
      <c r="I15" s="16">
        <v>6285430.7400000002</v>
      </c>
      <c r="J15" s="3">
        <v>144</v>
      </c>
      <c r="K15" s="3">
        <v>264</v>
      </c>
      <c r="L15" s="16">
        <v>271885.24</v>
      </c>
      <c r="M15" s="3">
        <v>451</v>
      </c>
      <c r="N15" s="3">
        <v>1079</v>
      </c>
      <c r="O15" s="16">
        <v>832541.06</v>
      </c>
      <c r="P15" s="16">
        <v>17505913.280000001</v>
      </c>
      <c r="Q15" s="3">
        <v>9924</v>
      </c>
      <c r="R15" s="15">
        <v>1763.9977106005645</v>
      </c>
      <c r="S15" s="45">
        <f t="shared" si="0"/>
        <v>0.75392986698911724</v>
      </c>
      <c r="T15" s="48">
        <f t="shared" si="1"/>
        <v>17505913.280000001</v>
      </c>
    </row>
    <row r="16" spans="2:20" x14ac:dyDescent="0.3">
      <c r="B16" s="2" t="s">
        <v>60</v>
      </c>
      <c r="C16" s="2">
        <v>2023</v>
      </c>
      <c r="D16" s="3">
        <v>5054</v>
      </c>
      <c r="E16" s="3">
        <v>23344</v>
      </c>
      <c r="F16" s="16">
        <v>10047693.689999999</v>
      </c>
      <c r="G16" s="3">
        <v>2299</v>
      </c>
      <c r="H16" s="3">
        <v>11532</v>
      </c>
      <c r="I16" s="16">
        <v>6342754.5499999998</v>
      </c>
      <c r="J16" s="3">
        <v>143</v>
      </c>
      <c r="K16" s="3">
        <v>254</v>
      </c>
      <c r="L16" s="16">
        <v>264352.11</v>
      </c>
      <c r="M16" s="3">
        <v>446</v>
      </c>
      <c r="N16" s="3">
        <v>1012</v>
      </c>
      <c r="O16" s="16">
        <v>822284.31</v>
      </c>
      <c r="P16" s="16">
        <v>17477084.659999996</v>
      </c>
      <c r="Q16" s="3">
        <v>9895</v>
      </c>
      <c r="R16" s="15">
        <v>1766.2541344113185</v>
      </c>
      <c r="S16" s="45">
        <f t="shared" si="0"/>
        <v>0.75755432036382009</v>
      </c>
      <c r="T16" s="48">
        <f t="shared" si="1"/>
        <v>17477084.659999996</v>
      </c>
    </row>
    <row r="17" spans="2:20" x14ac:dyDescent="0.3">
      <c r="B17" s="2" t="s">
        <v>61</v>
      </c>
      <c r="C17" s="2">
        <v>2023</v>
      </c>
      <c r="D17" s="3">
        <v>5098</v>
      </c>
      <c r="E17" s="3">
        <v>20518</v>
      </c>
      <c r="F17" s="16">
        <v>10031394.92</v>
      </c>
      <c r="G17" s="3">
        <v>2299</v>
      </c>
      <c r="H17" s="3">
        <v>10064</v>
      </c>
      <c r="I17" s="16">
        <v>6373307.1600000001</v>
      </c>
      <c r="J17" s="3">
        <v>139</v>
      </c>
      <c r="K17" s="3">
        <v>227</v>
      </c>
      <c r="L17" s="16">
        <v>258804.4</v>
      </c>
      <c r="M17" s="3">
        <v>448</v>
      </c>
      <c r="N17" s="3">
        <v>993</v>
      </c>
      <c r="O17" s="16">
        <v>813841.4</v>
      </c>
      <c r="P17" s="16">
        <v>17477347.879999999</v>
      </c>
      <c r="Q17" s="3">
        <v>9866</v>
      </c>
      <c r="R17" s="15">
        <v>1771.4725197648488</v>
      </c>
      <c r="S17" s="45">
        <f t="shared" si="0"/>
        <v>0.76383539428339753</v>
      </c>
      <c r="T17" s="48">
        <f t="shared" si="1"/>
        <v>17477347.879999999</v>
      </c>
    </row>
    <row r="18" spans="2:20" x14ac:dyDescent="0.3">
      <c r="B18" s="2" t="s">
        <v>62</v>
      </c>
      <c r="C18" s="2">
        <v>2023</v>
      </c>
      <c r="D18" s="3">
        <v>5136</v>
      </c>
      <c r="E18" s="3">
        <v>21540</v>
      </c>
      <c r="F18" s="16">
        <v>10187227.529999999</v>
      </c>
      <c r="G18" s="3">
        <v>2338</v>
      </c>
      <c r="H18" s="3">
        <v>10460</v>
      </c>
      <c r="I18" s="16">
        <v>6413572.8600000003</v>
      </c>
      <c r="J18" s="3">
        <v>143</v>
      </c>
      <c r="K18" s="3">
        <v>324</v>
      </c>
      <c r="L18" s="16">
        <v>269819.46999999997</v>
      </c>
      <c r="M18" s="3">
        <v>449</v>
      </c>
      <c r="N18" s="3">
        <v>1077</v>
      </c>
      <c r="O18" s="16">
        <v>840860.75</v>
      </c>
      <c r="P18" s="16">
        <v>17711480.609999999</v>
      </c>
      <c r="Q18" s="3">
        <v>9898</v>
      </c>
      <c r="R18" s="15">
        <v>1789.3999403919984</v>
      </c>
      <c r="S18" s="45">
        <f t="shared" si="0"/>
        <v>0.76954940391998383</v>
      </c>
      <c r="T18" s="48">
        <f t="shared" si="1"/>
        <v>17711480.609999999</v>
      </c>
    </row>
    <row r="19" spans="2:20" x14ac:dyDescent="0.3">
      <c r="B19" s="2" t="s">
        <v>63</v>
      </c>
      <c r="C19" s="2">
        <v>2023</v>
      </c>
      <c r="D19" s="3">
        <v>5166</v>
      </c>
      <c r="E19" s="3">
        <v>21319</v>
      </c>
      <c r="F19" s="16">
        <v>10259691.17</v>
      </c>
      <c r="G19" s="3">
        <v>2366</v>
      </c>
      <c r="H19" s="3">
        <v>10303</v>
      </c>
      <c r="I19" s="16">
        <v>6490568.96</v>
      </c>
      <c r="J19" s="3">
        <v>147</v>
      </c>
      <c r="K19" s="3">
        <v>316</v>
      </c>
      <c r="L19" s="16">
        <v>269868.34000000003</v>
      </c>
      <c r="M19" s="3">
        <v>446</v>
      </c>
      <c r="N19" s="3">
        <v>1075</v>
      </c>
      <c r="O19" s="16">
        <v>840837.48</v>
      </c>
      <c r="P19" s="16">
        <v>17860965.949999999</v>
      </c>
      <c r="Q19" s="3">
        <v>9841</v>
      </c>
      <c r="R19" s="15">
        <v>1814.9543694746469</v>
      </c>
      <c r="S19" s="45">
        <f t="shared" si="0"/>
        <v>0.78030687938217658</v>
      </c>
      <c r="T19" s="48">
        <f t="shared" si="1"/>
        <v>17860965.949999999</v>
      </c>
    </row>
    <row r="20" spans="2:20" x14ac:dyDescent="0.3">
      <c r="B20" s="2" t="s">
        <v>64</v>
      </c>
      <c r="C20" s="2">
        <v>2023</v>
      </c>
      <c r="D20" s="3">
        <v>5203</v>
      </c>
      <c r="E20" s="3">
        <v>21498</v>
      </c>
      <c r="F20" s="16">
        <v>10381282.07</v>
      </c>
      <c r="G20" s="3">
        <v>2359</v>
      </c>
      <c r="H20" s="3">
        <v>10477</v>
      </c>
      <c r="I20" s="16">
        <v>6520236.4000000004</v>
      </c>
      <c r="J20" s="3">
        <v>149</v>
      </c>
      <c r="K20" s="3">
        <v>295</v>
      </c>
      <c r="L20" s="16">
        <v>273596.37</v>
      </c>
      <c r="M20" s="3">
        <v>455</v>
      </c>
      <c r="N20" s="3">
        <v>1140</v>
      </c>
      <c r="O20" s="16">
        <v>861400.44</v>
      </c>
      <c r="P20" s="16">
        <v>18036515.280000001</v>
      </c>
      <c r="Q20" s="3">
        <v>9917</v>
      </c>
      <c r="R20" s="15">
        <v>1818.7471291721288</v>
      </c>
      <c r="S20" s="45">
        <f t="shared" si="0"/>
        <v>0.77755369567409494</v>
      </c>
      <c r="T20" s="48">
        <f t="shared" si="1"/>
        <v>18036515.280000001</v>
      </c>
    </row>
    <row r="21" spans="2:20" x14ac:dyDescent="0.3">
      <c r="B21" s="2" t="s">
        <v>65</v>
      </c>
      <c r="C21" s="2">
        <v>2023</v>
      </c>
      <c r="D21" s="3">
        <v>5133</v>
      </c>
      <c r="E21" s="3">
        <v>22371</v>
      </c>
      <c r="F21" s="16">
        <v>10294957.539999999</v>
      </c>
      <c r="G21" s="3">
        <v>2391</v>
      </c>
      <c r="H21" s="3">
        <v>11388</v>
      </c>
      <c r="I21" s="16">
        <v>6544609.4299999997</v>
      </c>
      <c r="J21" s="3">
        <v>143</v>
      </c>
      <c r="K21" s="3">
        <v>294</v>
      </c>
      <c r="L21" s="16">
        <v>265966.51</v>
      </c>
      <c r="M21" s="3">
        <v>461</v>
      </c>
      <c r="N21" s="3">
        <v>1114</v>
      </c>
      <c r="O21" s="16">
        <v>865690.04</v>
      </c>
      <c r="P21" s="16">
        <v>17971223.52</v>
      </c>
      <c r="Q21" s="3">
        <v>9904</v>
      </c>
      <c r="R21" s="15">
        <v>1814.5419547657511</v>
      </c>
      <c r="S21" s="45">
        <f t="shared" si="0"/>
        <v>0.7741316639741519</v>
      </c>
      <c r="T21" s="48">
        <f t="shared" si="1"/>
        <v>17971223.52</v>
      </c>
    </row>
    <row r="22" spans="2:20" x14ac:dyDescent="0.3">
      <c r="B22" s="2" t="s">
        <v>66</v>
      </c>
      <c r="C22" s="2">
        <v>2023</v>
      </c>
      <c r="D22" s="3">
        <v>5156</v>
      </c>
      <c r="E22" s="3">
        <v>23526</v>
      </c>
      <c r="F22" s="16">
        <v>10306220.15</v>
      </c>
      <c r="G22" s="3">
        <v>2385</v>
      </c>
      <c r="H22" s="3">
        <v>11873</v>
      </c>
      <c r="I22" s="16">
        <v>6554918.9400000004</v>
      </c>
      <c r="J22" s="3">
        <v>142</v>
      </c>
      <c r="K22" s="3">
        <v>275</v>
      </c>
      <c r="L22" s="16">
        <v>262063.03</v>
      </c>
      <c r="M22" s="3">
        <v>462</v>
      </c>
      <c r="N22" s="3">
        <v>1108</v>
      </c>
      <c r="O22" s="16">
        <v>863401.08</v>
      </c>
      <c r="P22" s="16">
        <v>17986603.199999999</v>
      </c>
      <c r="Q22" s="3">
        <v>9904</v>
      </c>
      <c r="R22" s="15">
        <v>1816.094830371567</v>
      </c>
      <c r="S22" s="45">
        <f t="shared" si="0"/>
        <v>0.77574717285945072</v>
      </c>
      <c r="T22" s="48">
        <f t="shared" si="1"/>
        <v>17986603.199999999</v>
      </c>
    </row>
    <row r="23" spans="2:20" x14ac:dyDescent="0.3">
      <c r="B23" s="2" t="s">
        <v>67</v>
      </c>
      <c r="C23" s="2">
        <v>2023</v>
      </c>
      <c r="D23" s="3">
        <v>5262</v>
      </c>
      <c r="E23" s="3">
        <v>21676</v>
      </c>
      <c r="F23" s="16">
        <v>10413392.859999999</v>
      </c>
      <c r="G23" s="3">
        <v>2412</v>
      </c>
      <c r="H23" s="3">
        <v>10656</v>
      </c>
      <c r="I23" s="16">
        <v>6558718.29</v>
      </c>
      <c r="J23" s="3">
        <v>152</v>
      </c>
      <c r="K23" s="3">
        <v>343</v>
      </c>
      <c r="L23" s="16">
        <v>287134.37</v>
      </c>
      <c r="M23" s="3">
        <v>459</v>
      </c>
      <c r="N23" s="3">
        <v>1106</v>
      </c>
      <c r="O23" s="16">
        <v>849888.57</v>
      </c>
      <c r="P23" s="16">
        <v>18109134.09</v>
      </c>
      <c r="Q23" s="3">
        <v>9889</v>
      </c>
      <c r="R23" s="15">
        <v>1831.2401749418545</v>
      </c>
      <c r="S23" s="45">
        <f t="shared" si="0"/>
        <v>0.79138436646779253</v>
      </c>
      <c r="T23" s="48">
        <f t="shared" si="1"/>
        <v>18109134.09</v>
      </c>
    </row>
    <row r="24" spans="2:20" x14ac:dyDescent="0.3">
      <c r="B24" s="2" t="s">
        <v>68</v>
      </c>
      <c r="C24" s="2">
        <v>2023</v>
      </c>
      <c r="D24" s="3">
        <v>5204</v>
      </c>
      <c r="E24" s="3">
        <v>21157</v>
      </c>
      <c r="F24" s="16">
        <v>10384248.17</v>
      </c>
      <c r="G24" s="3">
        <v>2377</v>
      </c>
      <c r="H24" s="3">
        <v>10552</v>
      </c>
      <c r="I24" s="16">
        <v>6538721.7199999997</v>
      </c>
      <c r="J24" s="3">
        <v>152</v>
      </c>
      <c r="K24" s="3">
        <v>332</v>
      </c>
      <c r="L24" s="16">
        <v>277786.21000000002</v>
      </c>
      <c r="M24" s="3">
        <v>455</v>
      </c>
      <c r="N24" s="3">
        <v>1204</v>
      </c>
      <c r="O24" s="16">
        <v>855522.73</v>
      </c>
      <c r="P24" s="16">
        <v>18056278.830000002</v>
      </c>
      <c r="Q24" s="3">
        <v>9857</v>
      </c>
      <c r="R24" s="15">
        <v>1831.8229512021915</v>
      </c>
      <c r="S24" s="45">
        <f t="shared" si="0"/>
        <v>0.78451861621182917</v>
      </c>
      <c r="T24" s="48">
        <f t="shared" si="1"/>
        <v>18056278.830000002</v>
      </c>
    </row>
    <row r="25" spans="2:20" x14ac:dyDescent="0.3">
      <c r="B25" s="2" t="s">
        <v>69</v>
      </c>
      <c r="C25" s="2">
        <v>2023</v>
      </c>
      <c r="D25" s="3">
        <v>5182</v>
      </c>
      <c r="E25" s="3">
        <v>23773</v>
      </c>
      <c r="F25" s="16">
        <v>10409786.32</v>
      </c>
      <c r="G25" s="3">
        <v>2373</v>
      </c>
      <c r="H25" s="3">
        <v>12040</v>
      </c>
      <c r="I25" s="16">
        <v>6522962.46</v>
      </c>
      <c r="J25" s="3">
        <v>141</v>
      </c>
      <c r="K25" s="3">
        <v>313</v>
      </c>
      <c r="L25" s="16">
        <v>264377.8</v>
      </c>
      <c r="M25" s="3">
        <v>452</v>
      </c>
      <c r="N25" s="3">
        <v>1111</v>
      </c>
      <c r="O25" s="16">
        <v>857929.55</v>
      </c>
      <c r="P25" s="16">
        <v>18055056.130000003</v>
      </c>
      <c r="Q25" s="3">
        <v>9847</v>
      </c>
      <c r="R25" s="15">
        <v>1833.5590667208289</v>
      </c>
      <c r="S25" s="45">
        <f t="shared" si="0"/>
        <v>0.78155783487356556</v>
      </c>
      <c r="T25" s="48">
        <f t="shared" si="1"/>
        <v>18055056.130000003</v>
      </c>
    </row>
    <row r="26" spans="2:20" x14ac:dyDescent="0.3">
      <c r="B26" s="2" t="s">
        <v>70</v>
      </c>
      <c r="C26" s="2">
        <v>2023</v>
      </c>
      <c r="D26" s="3">
        <v>5164</v>
      </c>
      <c r="E26" s="3">
        <v>21384</v>
      </c>
      <c r="F26" s="16">
        <v>10348086.18</v>
      </c>
      <c r="G26" s="3">
        <v>2376</v>
      </c>
      <c r="H26" s="3">
        <v>10715</v>
      </c>
      <c r="I26" s="16">
        <v>6539047.3700000001</v>
      </c>
      <c r="J26" s="3">
        <v>139</v>
      </c>
      <c r="K26" s="3">
        <v>259</v>
      </c>
      <c r="L26" s="16">
        <v>260144.62</v>
      </c>
      <c r="M26" s="3">
        <v>463</v>
      </c>
      <c r="N26" s="3">
        <v>1127</v>
      </c>
      <c r="O26" s="16">
        <v>866632.42</v>
      </c>
      <c r="P26" s="16">
        <v>18013910.590000004</v>
      </c>
      <c r="Q26" s="3">
        <v>9832</v>
      </c>
      <c r="R26" s="15">
        <v>1832.1715408869002</v>
      </c>
      <c r="S26" s="45">
        <f t="shared" si="0"/>
        <v>0.78102115541090322</v>
      </c>
      <c r="T26" s="48">
        <f t="shared" si="1"/>
        <v>18013910.590000004</v>
      </c>
    </row>
    <row r="27" spans="2:20" x14ac:dyDescent="0.3">
      <c r="B27" s="2" t="s">
        <v>71</v>
      </c>
      <c r="C27" s="2">
        <v>2023</v>
      </c>
      <c r="D27" s="3">
        <v>5118</v>
      </c>
      <c r="E27" s="3">
        <v>22410</v>
      </c>
      <c r="F27" s="16">
        <v>10233906.75</v>
      </c>
      <c r="G27" s="3">
        <v>2355</v>
      </c>
      <c r="H27" s="3">
        <v>11501</v>
      </c>
      <c r="I27" s="16">
        <v>6439075.3200000003</v>
      </c>
      <c r="J27" s="3">
        <v>140</v>
      </c>
      <c r="K27" s="3">
        <v>313</v>
      </c>
      <c r="L27" s="16">
        <v>257422.14</v>
      </c>
      <c r="M27" s="3">
        <v>463</v>
      </c>
      <c r="N27" s="3">
        <v>1156</v>
      </c>
      <c r="O27" s="16">
        <v>873040.73</v>
      </c>
      <c r="P27" s="16">
        <v>17803444.940000001</v>
      </c>
      <c r="Q27" s="3">
        <v>9750</v>
      </c>
      <c r="R27" s="15">
        <v>1825.9943528205129</v>
      </c>
      <c r="S27" s="45">
        <f t="shared" si="0"/>
        <v>0.78082051282051279</v>
      </c>
      <c r="T27" s="48">
        <f t="shared" si="1"/>
        <v>17803444.940000001</v>
      </c>
    </row>
    <row r="28" spans="2:20" x14ac:dyDescent="0.3">
      <c r="B28" s="2" t="s">
        <v>72</v>
      </c>
      <c r="C28" s="2">
        <v>2024</v>
      </c>
      <c r="D28" s="3">
        <v>5165</v>
      </c>
      <c r="E28" s="3">
        <v>21100</v>
      </c>
      <c r="F28" s="16">
        <v>10337344.34</v>
      </c>
      <c r="G28" s="3">
        <v>2338</v>
      </c>
      <c r="H28" s="3">
        <v>10248</v>
      </c>
      <c r="I28" s="16">
        <v>6402759.7699999996</v>
      </c>
      <c r="J28" s="3">
        <v>146</v>
      </c>
      <c r="K28" s="3">
        <v>324</v>
      </c>
      <c r="L28" s="16">
        <v>264147.99</v>
      </c>
      <c r="M28" s="3">
        <v>459</v>
      </c>
      <c r="N28" s="3">
        <v>1150</v>
      </c>
      <c r="O28" s="16">
        <v>870687.67</v>
      </c>
      <c r="P28" s="16">
        <v>17874939.77</v>
      </c>
      <c r="Q28" s="3">
        <v>9705</v>
      </c>
      <c r="R28" s="15">
        <v>1841.8279000515197</v>
      </c>
      <c r="S28" s="45">
        <f t="shared" si="0"/>
        <v>0.78815043791859862</v>
      </c>
      <c r="T28" s="48">
        <f t="shared" si="1"/>
        <v>17874939.77</v>
      </c>
    </row>
    <row r="29" spans="2:20" x14ac:dyDescent="0.3">
      <c r="B29" s="2" t="s">
        <v>73</v>
      </c>
      <c r="C29" s="2">
        <v>2024</v>
      </c>
      <c r="D29" s="3">
        <v>5205</v>
      </c>
      <c r="E29" s="3">
        <v>21205</v>
      </c>
      <c r="F29" s="16">
        <v>10407218.67</v>
      </c>
      <c r="G29" s="3">
        <v>2358</v>
      </c>
      <c r="H29" s="3">
        <v>10412</v>
      </c>
      <c r="I29" s="16">
        <v>6412958.0499999998</v>
      </c>
      <c r="J29" s="3">
        <v>147</v>
      </c>
      <c r="K29" s="3">
        <v>328</v>
      </c>
      <c r="L29" s="16">
        <v>257405.08</v>
      </c>
      <c r="M29" s="3">
        <v>453</v>
      </c>
      <c r="N29" s="3">
        <v>1142</v>
      </c>
      <c r="O29" s="16">
        <v>847669.5</v>
      </c>
      <c r="P29" s="16">
        <v>17925251.299999997</v>
      </c>
      <c r="Q29" s="3">
        <v>9654</v>
      </c>
      <c r="R29" s="15">
        <v>1856.7693494924381</v>
      </c>
      <c r="S29" s="45">
        <f t="shared" si="0"/>
        <v>0.79863269111249224</v>
      </c>
      <c r="T29" s="48">
        <f t="shared" si="1"/>
        <v>17925251.299999997</v>
      </c>
    </row>
    <row r="30" spans="2:20" x14ac:dyDescent="0.3">
      <c r="B30" s="2" t="s">
        <v>74</v>
      </c>
      <c r="C30" s="2">
        <v>2024</v>
      </c>
      <c r="D30" s="3">
        <v>5230</v>
      </c>
      <c r="E30" s="3">
        <v>21567</v>
      </c>
      <c r="F30" s="16">
        <v>10523305.23</v>
      </c>
      <c r="G30" s="3">
        <v>2376</v>
      </c>
      <c r="H30" s="3">
        <v>10707</v>
      </c>
      <c r="I30" s="16">
        <v>6474505.4299999997</v>
      </c>
      <c r="J30" s="3">
        <v>141</v>
      </c>
      <c r="K30" s="3">
        <v>320</v>
      </c>
      <c r="L30" s="16">
        <v>258352.15</v>
      </c>
      <c r="M30" s="3">
        <v>453</v>
      </c>
      <c r="N30" s="3">
        <v>1167</v>
      </c>
      <c r="O30" s="16">
        <v>861291.72</v>
      </c>
      <c r="P30" s="16">
        <v>18117454.529999997</v>
      </c>
      <c r="Q30" s="3">
        <v>9657</v>
      </c>
      <c r="R30" s="15">
        <v>1876.0955296675984</v>
      </c>
      <c r="S30" s="45">
        <f t="shared" si="0"/>
        <v>0.80221600911256086</v>
      </c>
      <c r="T30" s="48">
        <f t="shared" si="1"/>
        <v>18117454.529999997</v>
      </c>
    </row>
    <row r="31" spans="2:20" x14ac:dyDescent="0.3">
      <c r="B31" s="2" t="s">
        <v>75</v>
      </c>
      <c r="C31" s="2">
        <v>2024</v>
      </c>
      <c r="D31" s="3">
        <v>5269</v>
      </c>
      <c r="E31" s="3">
        <v>21348</v>
      </c>
      <c r="F31" s="16">
        <v>10551311.380000001</v>
      </c>
      <c r="G31" s="3">
        <v>2369</v>
      </c>
      <c r="H31" s="3">
        <v>10640</v>
      </c>
      <c r="I31" s="16">
        <v>6525989.9000000004</v>
      </c>
      <c r="J31" s="3">
        <v>147</v>
      </c>
      <c r="K31" s="3">
        <v>314</v>
      </c>
      <c r="L31" s="16">
        <v>254757.24</v>
      </c>
      <c r="M31" s="3">
        <v>451</v>
      </c>
      <c r="N31" s="3">
        <v>1134</v>
      </c>
      <c r="O31" s="16">
        <v>855746.48</v>
      </c>
      <c r="P31" s="16">
        <v>18187805</v>
      </c>
      <c r="Q31" s="3">
        <v>9702</v>
      </c>
      <c r="R31" s="15">
        <v>1874.64491857349</v>
      </c>
      <c r="S31" s="45">
        <f t="shared" si="0"/>
        <v>0.80241187384044532</v>
      </c>
      <c r="T31" s="48">
        <f t="shared" si="1"/>
        <v>18187805</v>
      </c>
    </row>
    <row r="32" spans="2:20" x14ac:dyDescent="0.3">
      <c r="B32" s="2" t="s">
        <v>76</v>
      </c>
      <c r="C32" s="2">
        <v>2024</v>
      </c>
      <c r="D32" s="3">
        <v>5266</v>
      </c>
      <c r="E32" s="3">
        <v>22011</v>
      </c>
      <c r="F32" s="16">
        <v>10618912.6</v>
      </c>
      <c r="G32" s="3">
        <v>2379</v>
      </c>
      <c r="H32" s="3">
        <v>10856</v>
      </c>
      <c r="I32" s="16">
        <v>6456642.9000000004</v>
      </c>
      <c r="J32" s="3">
        <v>155</v>
      </c>
      <c r="K32" s="3">
        <v>404</v>
      </c>
      <c r="L32" s="16">
        <v>272894.46999999997</v>
      </c>
      <c r="M32" s="3">
        <v>453</v>
      </c>
      <c r="N32" s="3">
        <v>1184</v>
      </c>
      <c r="O32" s="16">
        <v>870071.44</v>
      </c>
      <c r="P32" s="16">
        <v>18218521.41</v>
      </c>
      <c r="Q32" s="3">
        <v>9705</v>
      </c>
      <c r="R32" s="15">
        <v>1877.2304389489955</v>
      </c>
      <c r="S32" s="45">
        <f t="shared" si="0"/>
        <v>0.80370942812983004</v>
      </c>
      <c r="T32" s="48">
        <f t="shared" si="1"/>
        <v>18218521.41</v>
      </c>
    </row>
    <row r="33" spans="2:20" x14ac:dyDescent="0.3">
      <c r="B33" s="2" t="s">
        <v>77</v>
      </c>
      <c r="C33" s="2">
        <v>2024</v>
      </c>
      <c r="D33" s="3">
        <v>5249</v>
      </c>
      <c r="E33" s="3">
        <v>20737</v>
      </c>
      <c r="F33" s="16">
        <v>10529013.08</v>
      </c>
      <c r="G33" s="3">
        <v>2365</v>
      </c>
      <c r="H33" s="3">
        <v>10315</v>
      </c>
      <c r="I33" s="16">
        <v>6471337.9699999997</v>
      </c>
      <c r="J33" s="3">
        <v>161</v>
      </c>
      <c r="K33" s="3">
        <v>298</v>
      </c>
      <c r="L33" s="16">
        <v>262713.98</v>
      </c>
      <c r="M33" s="3">
        <v>458</v>
      </c>
      <c r="N33" s="3">
        <v>1098</v>
      </c>
      <c r="O33" s="16">
        <v>875404.39</v>
      </c>
      <c r="P33" s="16">
        <v>18138469.420000002</v>
      </c>
      <c r="Q33" s="3">
        <v>9683</v>
      </c>
      <c r="R33" s="15">
        <v>1873.2282784261079</v>
      </c>
      <c r="S33" s="45">
        <f t="shared" si="0"/>
        <v>0.80295363007332443</v>
      </c>
      <c r="T33" s="48">
        <f t="shared" si="1"/>
        <v>18138469.420000002</v>
      </c>
    </row>
    <row r="34" spans="2:20" x14ac:dyDescent="0.3">
      <c r="B34" s="2" t="s">
        <v>78</v>
      </c>
      <c r="C34" s="2">
        <v>2024</v>
      </c>
      <c r="D34" s="3">
        <v>5080</v>
      </c>
      <c r="E34" s="3">
        <v>20678</v>
      </c>
      <c r="F34" s="16">
        <v>10231097.119999999</v>
      </c>
      <c r="G34" s="3">
        <v>2361</v>
      </c>
      <c r="H34" s="3">
        <v>10580</v>
      </c>
      <c r="I34" s="16">
        <v>6432057.6299999999</v>
      </c>
      <c r="J34" s="3">
        <v>180</v>
      </c>
      <c r="K34" s="3">
        <v>317</v>
      </c>
      <c r="L34" s="16">
        <v>317580.59999999998</v>
      </c>
      <c r="M34" s="3">
        <v>452</v>
      </c>
      <c r="N34" s="3">
        <v>1176</v>
      </c>
      <c r="O34" s="16">
        <v>871917.39</v>
      </c>
      <c r="P34" s="16">
        <v>17852652.740000002</v>
      </c>
      <c r="Q34" s="3">
        <v>9687</v>
      </c>
      <c r="R34" s="15">
        <v>1842.9495963662644</v>
      </c>
      <c r="S34" s="45">
        <f t="shared" si="0"/>
        <v>0.78672447610199236</v>
      </c>
      <c r="T34" s="48">
        <f t="shared" si="1"/>
        <v>17852652.740000002</v>
      </c>
    </row>
    <row r="35" spans="2:20" x14ac:dyDescent="0.3">
      <c r="B35" s="2" t="s">
        <v>79</v>
      </c>
      <c r="C35" s="2">
        <v>2024</v>
      </c>
      <c r="D35" s="3">
        <v>5175</v>
      </c>
      <c r="E35" s="3">
        <v>21109</v>
      </c>
      <c r="F35" s="16">
        <v>10322545.83</v>
      </c>
      <c r="G35" s="3">
        <v>2382</v>
      </c>
      <c r="H35" s="3">
        <v>10808</v>
      </c>
      <c r="I35" s="16">
        <v>6481795.6299999999</v>
      </c>
      <c r="J35" s="3">
        <v>190</v>
      </c>
      <c r="K35" s="3">
        <v>383</v>
      </c>
      <c r="L35" s="16">
        <v>321548.89</v>
      </c>
      <c r="M35" s="3">
        <v>439</v>
      </c>
      <c r="N35" s="3">
        <v>1194</v>
      </c>
      <c r="O35" s="16">
        <v>844242.92</v>
      </c>
      <c r="P35" s="16">
        <v>17970133.270000003</v>
      </c>
      <c r="Q35" s="3">
        <v>9681</v>
      </c>
      <c r="R35" s="15">
        <v>1856.2269672554492</v>
      </c>
      <c r="S35" s="45">
        <f t="shared" si="0"/>
        <v>0.80022724925111044</v>
      </c>
      <c r="T35" s="48">
        <f t="shared" si="1"/>
        <v>17970133.270000003</v>
      </c>
    </row>
    <row r="36" spans="2:20" x14ac:dyDescent="0.3">
      <c r="B36" s="2" t="s">
        <v>80</v>
      </c>
      <c r="C36" s="2">
        <v>2024</v>
      </c>
      <c r="D36" s="3">
        <v>5232</v>
      </c>
      <c r="E36" s="3">
        <v>23162</v>
      </c>
      <c r="F36" s="16">
        <v>10408305.6</v>
      </c>
      <c r="G36" s="3">
        <v>2368</v>
      </c>
      <c r="H36" s="3">
        <v>11958</v>
      </c>
      <c r="I36" s="16">
        <v>6417475.9100000001</v>
      </c>
      <c r="J36" s="3">
        <v>194</v>
      </c>
      <c r="K36" s="3">
        <v>372</v>
      </c>
      <c r="L36" s="16">
        <v>344727.26</v>
      </c>
      <c r="M36" s="3">
        <v>441</v>
      </c>
      <c r="N36" s="3">
        <v>1138</v>
      </c>
      <c r="O36" s="16">
        <v>835732.02</v>
      </c>
      <c r="P36" s="16">
        <v>18006240.789999999</v>
      </c>
      <c r="Q36" s="3">
        <v>9674</v>
      </c>
      <c r="R36" s="15">
        <v>1861.3025418647921</v>
      </c>
      <c r="S36" s="45">
        <f t="shared" si="0"/>
        <v>0.80566466818275795</v>
      </c>
      <c r="T36" s="48">
        <f t="shared" si="1"/>
        <v>18006240.789999999</v>
      </c>
    </row>
    <row r="37" spans="2:20" x14ac:dyDescent="0.3">
      <c r="B37" s="2" t="s">
        <v>81</v>
      </c>
      <c r="C37" s="2">
        <v>2024</v>
      </c>
      <c r="D37" s="3">
        <v>5252</v>
      </c>
      <c r="E37" s="3">
        <v>21931</v>
      </c>
      <c r="F37" s="16">
        <v>10539350.9</v>
      </c>
      <c r="G37" s="3">
        <v>2365</v>
      </c>
      <c r="H37" s="3">
        <v>11067</v>
      </c>
      <c r="I37" s="16">
        <v>6490471.1699999999</v>
      </c>
      <c r="J37" s="3">
        <v>194</v>
      </c>
      <c r="K37" s="3">
        <v>454</v>
      </c>
      <c r="L37" s="16">
        <v>323795.59000000003</v>
      </c>
      <c r="M37" s="3">
        <v>448</v>
      </c>
      <c r="N37" s="3">
        <v>1235</v>
      </c>
      <c r="O37" s="16">
        <v>862020.44</v>
      </c>
      <c r="P37" s="16">
        <v>18215638.100000001</v>
      </c>
      <c r="Q37" s="3">
        <v>9710</v>
      </c>
      <c r="R37" s="15">
        <v>1875.9668486096809</v>
      </c>
      <c r="S37" s="45">
        <f t="shared" si="0"/>
        <v>0.80442842430484041</v>
      </c>
      <c r="T37" s="48">
        <f t="shared" si="1"/>
        <v>18215638.100000001</v>
      </c>
    </row>
    <row r="38" spans="2:20" x14ac:dyDescent="0.3">
      <c r="B38" s="2" t="s">
        <v>82</v>
      </c>
      <c r="C38" s="2">
        <v>2024</v>
      </c>
      <c r="D38" s="3">
        <v>5298</v>
      </c>
      <c r="E38" s="3">
        <v>21568</v>
      </c>
      <c r="F38" s="16">
        <v>10584745.300000001</v>
      </c>
      <c r="G38" s="3">
        <v>2391</v>
      </c>
      <c r="H38" s="3">
        <v>10911</v>
      </c>
      <c r="I38" s="16">
        <v>6497001.0999999996</v>
      </c>
      <c r="J38" s="3">
        <v>194</v>
      </c>
      <c r="K38" s="3">
        <v>436</v>
      </c>
      <c r="L38" s="16">
        <v>339566.74</v>
      </c>
      <c r="M38" s="3">
        <v>443</v>
      </c>
      <c r="N38" s="3">
        <v>1252</v>
      </c>
      <c r="O38" s="16">
        <v>838456.73</v>
      </c>
      <c r="P38" s="16">
        <v>18259769.869999997</v>
      </c>
      <c r="Q38" s="3">
        <v>9663</v>
      </c>
      <c r="R38" s="15">
        <v>1889.6584776984371</v>
      </c>
      <c r="S38" s="45">
        <f t="shared" si="0"/>
        <v>0.81579219704025663</v>
      </c>
      <c r="T38" s="48">
        <f t="shared" si="1"/>
        <v>18259769.869999997</v>
      </c>
    </row>
    <row r="39" spans="2:20" x14ac:dyDescent="0.3">
      <c r="B39" s="2" t="s">
        <v>83</v>
      </c>
      <c r="C39" s="2">
        <v>2024</v>
      </c>
      <c r="D39" s="3">
        <v>5318</v>
      </c>
      <c r="E39" s="3">
        <v>25200</v>
      </c>
      <c r="F39" s="16">
        <v>10661778.98</v>
      </c>
      <c r="G39" s="3">
        <v>2396</v>
      </c>
      <c r="H39" s="3">
        <v>13242</v>
      </c>
      <c r="I39" s="16">
        <v>6443421.7800000003</v>
      </c>
      <c r="J39" s="3">
        <v>211</v>
      </c>
      <c r="K39" s="3">
        <v>441</v>
      </c>
      <c r="L39" s="16">
        <v>356587.43</v>
      </c>
      <c r="M39" s="3">
        <v>437</v>
      </c>
      <c r="N39" s="3">
        <v>1135</v>
      </c>
      <c r="O39" s="16">
        <v>858543.97</v>
      </c>
      <c r="P39" s="16">
        <v>18320332.16</v>
      </c>
      <c r="Q39" s="3">
        <v>9636</v>
      </c>
      <c r="R39" s="15">
        <v>1901.2382897467828</v>
      </c>
      <c r="S39" s="45">
        <f t="shared" si="0"/>
        <v>0.82243669572436695</v>
      </c>
      <c r="T39" s="48">
        <f t="shared" si="1"/>
        <v>18320332.16</v>
      </c>
    </row>
    <row r="40" spans="2:20" x14ac:dyDescent="0.3">
      <c r="B40" s="2" t="s">
        <v>84</v>
      </c>
      <c r="C40" s="2">
        <v>2025</v>
      </c>
      <c r="D40" s="3">
        <v>5374</v>
      </c>
      <c r="E40" s="3">
        <v>22414</v>
      </c>
      <c r="F40" s="16">
        <v>10702249.67</v>
      </c>
      <c r="G40" s="3">
        <v>2385</v>
      </c>
      <c r="H40" s="3">
        <v>11274</v>
      </c>
      <c r="I40" s="16">
        <v>6447055.4299999997</v>
      </c>
      <c r="J40" s="3">
        <v>207</v>
      </c>
      <c r="K40" s="3">
        <v>518</v>
      </c>
      <c r="L40" s="16">
        <v>356957.27</v>
      </c>
      <c r="M40" s="3">
        <v>444</v>
      </c>
      <c r="N40" s="3">
        <v>1243</v>
      </c>
      <c r="O40" s="16">
        <v>856957.87</v>
      </c>
      <c r="P40" s="16">
        <v>18363220.240000002</v>
      </c>
      <c r="Q40" s="3">
        <v>9568</v>
      </c>
      <c r="R40" s="15">
        <v>1919.2328846153848</v>
      </c>
      <c r="S40" s="45">
        <f t="shared" si="0"/>
        <v>0.83256688963210701</v>
      </c>
      <c r="T40" s="48">
        <f t="shared" si="1"/>
        <v>18363220.240000002</v>
      </c>
    </row>
    <row r="41" spans="2:20" x14ac:dyDescent="0.3">
      <c r="B41" s="2" t="s">
        <v>85</v>
      </c>
      <c r="C41" s="2">
        <v>2025</v>
      </c>
      <c r="D41" s="3">
        <v>5335</v>
      </c>
      <c r="E41" s="3">
        <v>21380</v>
      </c>
      <c r="F41" s="16">
        <v>10631928.41</v>
      </c>
      <c r="G41" s="3">
        <v>2370</v>
      </c>
      <c r="H41" s="3">
        <v>10717</v>
      </c>
      <c r="I41" s="16">
        <v>6440371.46</v>
      </c>
      <c r="J41" s="3">
        <v>208</v>
      </c>
      <c r="K41" s="3">
        <v>476</v>
      </c>
      <c r="L41" s="16">
        <v>368198.38</v>
      </c>
      <c r="M41" s="3">
        <v>436</v>
      </c>
      <c r="N41" s="3">
        <v>1093</v>
      </c>
      <c r="O41" s="16">
        <v>834910.41</v>
      </c>
      <c r="P41" s="16">
        <v>18275408.66</v>
      </c>
      <c r="Q41" s="3">
        <v>9546</v>
      </c>
      <c r="R41" s="15">
        <v>1914.4572239681543</v>
      </c>
      <c r="S41" s="45">
        <f t="shared" si="0"/>
        <v>0.8289335847475382</v>
      </c>
      <c r="T41" s="48">
        <f t="shared" si="1"/>
        <v>18275408.66</v>
      </c>
    </row>
    <row r="42" spans="2:20" x14ac:dyDescent="0.3">
      <c r="B42" s="2" t="s">
        <v>86</v>
      </c>
      <c r="C42" s="2">
        <v>2025</v>
      </c>
      <c r="D42" s="3">
        <v>5259</v>
      </c>
      <c r="E42" s="3">
        <v>23784</v>
      </c>
      <c r="F42" s="16">
        <v>10603727.17</v>
      </c>
      <c r="G42" s="3">
        <v>2372</v>
      </c>
      <c r="H42" s="3">
        <v>12278</v>
      </c>
      <c r="I42" s="16">
        <v>6444033.71</v>
      </c>
      <c r="J42" s="3">
        <v>198</v>
      </c>
      <c r="K42" s="3">
        <v>465</v>
      </c>
      <c r="L42" s="16">
        <v>372284.34</v>
      </c>
      <c r="M42" s="3">
        <v>431</v>
      </c>
      <c r="N42" s="3">
        <v>1210</v>
      </c>
      <c r="O42" s="16">
        <v>828152.24</v>
      </c>
      <c r="P42" s="16">
        <v>18248197.459999997</v>
      </c>
      <c r="Q42" s="3">
        <v>9529</v>
      </c>
      <c r="R42" s="15">
        <v>1915.0170490082901</v>
      </c>
      <c r="S42" s="45">
        <f t="shared" si="0"/>
        <v>0.82159722950991709</v>
      </c>
      <c r="T42" s="48">
        <f t="shared" si="1"/>
        <v>18248197.459999997</v>
      </c>
    </row>
    <row r="43" spans="2:20" x14ac:dyDescent="0.3">
      <c r="B43" s="2" t="s">
        <v>87</v>
      </c>
      <c r="C43" s="2">
        <v>2025</v>
      </c>
      <c r="D43" s="3">
        <v>5247</v>
      </c>
      <c r="E43" s="3">
        <v>22276</v>
      </c>
      <c r="F43" s="16">
        <v>10755250.52</v>
      </c>
      <c r="G43" s="3">
        <v>2365</v>
      </c>
      <c r="H43" s="3">
        <v>11414</v>
      </c>
      <c r="I43" s="16">
        <v>6510825.5899999999</v>
      </c>
      <c r="J43" s="3">
        <v>212</v>
      </c>
      <c r="K43" s="3">
        <v>561</v>
      </c>
      <c r="L43" s="16">
        <v>397939.35</v>
      </c>
      <c r="M43" s="3">
        <v>432</v>
      </c>
      <c r="N43" s="3">
        <v>1427</v>
      </c>
      <c r="O43" s="16">
        <v>841975.37</v>
      </c>
      <c r="P43" s="16">
        <v>18505990.830000002</v>
      </c>
      <c r="Q43" s="3">
        <v>9587</v>
      </c>
      <c r="R43" s="15">
        <v>1930.3213549598418</v>
      </c>
      <c r="S43" s="45">
        <f t="shared" si="0"/>
        <v>0.81610514238030663</v>
      </c>
      <c r="T43" s="48">
        <f t="shared" si="1"/>
        <v>18505990.830000002</v>
      </c>
    </row>
    <row r="44" spans="2:20" x14ac:dyDescent="0.3">
      <c r="B44" s="2" t="s">
        <v>88</v>
      </c>
      <c r="C44" s="2">
        <v>2025</v>
      </c>
      <c r="D44" s="3">
        <v>5281</v>
      </c>
      <c r="E44" s="3">
        <v>22682</v>
      </c>
      <c r="F44" s="16">
        <v>10663823.82</v>
      </c>
      <c r="G44" s="3">
        <v>2399</v>
      </c>
      <c r="H44" s="3">
        <v>11406</v>
      </c>
      <c r="I44" s="16">
        <v>6504334.25</v>
      </c>
      <c r="J44" s="3">
        <v>201</v>
      </c>
      <c r="K44" s="3">
        <v>557</v>
      </c>
      <c r="L44" s="16">
        <v>376778.44</v>
      </c>
      <c r="M44" s="3">
        <v>433</v>
      </c>
      <c r="N44" s="3">
        <v>1500</v>
      </c>
      <c r="O44" s="16">
        <v>828672.47</v>
      </c>
      <c r="P44" s="16">
        <v>18373608.98</v>
      </c>
      <c r="Q44" s="3">
        <v>9612</v>
      </c>
      <c r="R44" s="15">
        <v>1911.5281918435289</v>
      </c>
      <c r="S44" s="45">
        <f t="shared" si="0"/>
        <v>0.81991260923845188</v>
      </c>
      <c r="T44" s="48">
        <f t="shared" si="1"/>
        <v>18373608.98</v>
      </c>
    </row>
    <row r="45" spans="2:20" x14ac:dyDescent="0.3">
      <c r="B45" s="2" t="s">
        <v>89</v>
      </c>
      <c r="C45" s="2">
        <v>2025</v>
      </c>
      <c r="D45" s="3">
        <v>5254</v>
      </c>
      <c r="E45" s="3">
        <v>25388</v>
      </c>
      <c r="F45" s="16">
        <v>10634960.710000001</v>
      </c>
      <c r="G45" s="3">
        <v>2421</v>
      </c>
      <c r="H45" s="3">
        <v>13837</v>
      </c>
      <c r="I45" s="16">
        <v>6621842.5899999999</v>
      </c>
      <c r="J45" s="3">
        <v>204</v>
      </c>
      <c r="K45" s="3">
        <v>584</v>
      </c>
      <c r="L45" s="16">
        <v>388295.65</v>
      </c>
      <c r="M45" s="3">
        <v>433</v>
      </c>
      <c r="N45" s="3">
        <v>1339</v>
      </c>
      <c r="O45" s="16">
        <v>828030.85</v>
      </c>
      <c r="P45" s="16">
        <v>18473129.800000001</v>
      </c>
      <c r="Q45" s="3">
        <v>9649</v>
      </c>
      <c r="R45" s="15">
        <v>1914.5123639755416</v>
      </c>
      <c r="S45" s="45">
        <f t="shared" si="0"/>
        <v>0.81656130168929419</v>
      </c>
      <c r="T45" s="48">
        <f t="shared" si="1"/>
        <v>18473129.800000001</v>
      </c>
    </row>
    <row r="46" spans="2:20" x14ac:dyDescent="0.3">
      <c r="B46" s="2" t="s">
        <v>90</v>
      </c>
      <c r="C46" s="2">
        <v>2025</v>
      </c>
      <c r="D46" s="3">
        <v>5259</v>
      </c>
      <c r="E46" s="3">
        <v>23237</v>
      </c>
      <c r="F46" s="16">
        <v>10586189.67</v>
      </c>
      <c r="G46" s="3">
        <v>2411</v>
      </c>
      <c r="H46" s="3">
        <v>12131</v>
      </c>
      <c r="I46" s="16">
        <v>6608093.4900000002</v>
      </c>
      <c r="J46" s="3">
        <v>194</v>
      </c>
      <c r="K46" s="3">
        <v>631</v>
      </c>
      <c r="L46" s="16">
        <v>362317.18</v>
      </c>
      <c r="M46" s="3">
        <v>433</v>
      </c>
      <c r="N46" s="3">
        <v>1332</v>
      </c>
      <c r="O46" s="16">
        <v>828615.02</v>
      </c>
      <c r="P46" s="16">
        <v>18385215.359999999</v>
      </c>
      <c r="Q46" s="3">
        <v>9690</v>
      </c>
      <c r="R46" s="15">
        <v>1897.3390464396284</v>
      </c>
      <c r="S46" s="45">
        <f t="shared" si="0"/>
        <v>0.81155830753353975</v>
      </c>
      <c r="T46" s="48">
        <f t="shared" si="1"/>
        <v>18385215.359999999</v>
      </c>
    </row>
    <row r="47" spans="2:20" x14ac:dyDescent="0.3">
      <c r="B47" s="2" t="s">
        <v>91</v>
      </c>
      <c r="C47" s="2">
        <v>2025</v>
      </c>
      <c r="D47" s="3">
        <v>5257</v>
      </c>
      <c r="E47" s="3">
        <v>23079</v>
      </c>
      <c r="F47" s="16">
        <v>10635514.9</v>
      </c>
      <c r="G47" s="3">
        <v>2427</v>
      </c>
      <c r="H47" s="3">
        <v>12036</v>
      </c>
      <c r="I47" s="16">
        <v>6642373.1399999997</v>
      </c>
      <c r="J47" s="3">
        <v>196</v>
      </c>
      <c r="K47" s="3">
        <v>581</v>
      </c>
      <c r="L47" s="16">
        <v>371381.02</v>
      </c>
      <c r="M47" s="3">
        <v>430</v>
      </c>
      <c r="N47" s="3">
        <v>1431</v>
      </c>
      <c r="O47" s="16">
        <v>822464.33</v>
      </c>
      <c r="P47" s="16">
        <v>18471733.389999997</v>
      </c>
      <c r="Q47" s="3">
        <v>9680</v>
      </c>
      <c r="R47" s="15">
        <v>1908.236920454545</v>
      </c>
      <c r="S47" s="45">
        <f t="shared" si="0"/>
        <v>0.81404958677685946</v>
      </c>
      <c r="T47" s="48">
        <f t="shared" si="1"/>
        <v>18471733.389999997</v>
      </c>
    </row>
    <row r="48" spans="2:20" x14ac:dyDescent="0.3">
      <c r="B48" s="2" t="s">
        <v>92</v>
      </c>
      <c r="C48" s="2">
        <v>2025</v>
      </c>
      <c r="D48" s="3">
        <v>5245</v>
      </c>
      <c r="E48" s="3">
        <v>22743</v>
      </c>
      <c r="F48" s="16">
        <v>10649198.640000001</v>
      </c>
      <c r="G48" s="3">
        <v>2386</v>
      </c>
      <c r="H48" s="3">
        <v>11642</v>
      </c>
      <c r="I48" s="16">
        <v>6565007.9400000004</v>
      </c>
      <c r="J48" s="3">
        <v>194</v>
      </c>
      <c r="K48" s="3">
        <v>576</v>
      </c>
      <c r="L48" s="16">
        <v>359316.17</v>
      </c>
      <c r="M48" s="3">
        <v>427</v>
      </c>
      <c r="N48" s="3">
        <v>1313</v>
      </c>
      <c r="O48" s="16">
        <v>820309.69</v>
      </c>
      <c r="P48" s="16">
        <v>18393832.440000005</v>
      </c>
      <c r="Q48" s="3">
        <v>9714</v>
      </c>
      <c r="R48" s="15">
        <v>1893.5384434836324</v>
      </c>
      <c r="S48" s="45">
        <f t="shared" si="0"/>
        <v>0.80553839818818196</v>
      </c>
      <c r="T48" s="48">
        <f t="shared" si="1"/>
        <v>18393832.440000005</v>
      </c>
    </row>
    <row r="49" spans="2:20" x14ac:dyDescent="0.3">
      <c r="B49" s="2" t="s">
        <v>93</v>
      </c>
      <c r="C49" s="2">
        <v>2025</v>
      </c>
      <c r="D49" s="3">
        <v>5242</v>
      </c>
      <c r="E49" s="3">
        <v>23289</v>
      </c>
      <c r="F49" s="16">
        <v>10608872.220000001</v>
      </c>
      <c r="G49" s="3">
        <v>2410</v>
      </c>
      <c r="H49" s="3">
        <v>11871</v>
      </c>
      <c r="I49" s="16">
        <v>6585363.9199999999</v>
      </c>
      <c r="J49" s="3">
        <v>218</v>
      </c>
      <c r="K49" s="3">
        <v>690</v>
      </c>
      <c r="L49" s="16">
        <v>418511.8</v>
      </c>
      <c r="M49" s="3">
        <v>424</v>
      </c>
      <c r="N49" s="3">
        <v>1352</v>
      </c>
      <c r="O49" s="16">
        <v>815214.83</v>
      </c>
      <c r="P49" s="16">
        <v>18427962.77</v>
      </c>
      <c r="Q49" s="3">
        <v>9732</v>
      </c>
      <c r="R49" s="15">
        <v>1893.5432357172215</v>
      </c>
      <c r="S49" s="45">
        <f t="shared" si="0"/>
        <v>0.80867242087957258</v>
      </c>
      <c r="T49" s="48">
        <f t="shared" si="1"/>
        <v>18427962.77</v>
      </c>
    </row>
    <row r="50" spans="2:20" x14ac:dyDescent="0.3">
      <c r="B50" s="2" t="s">
        <v>94</v>
      </c>
      <c r="C50" s="2">
        <v>2025</v>
      </c>
      <c r="D50" s="3">
        <v>5212</v>
      </c>
      <c r="E50" s="3">
        <v>22666</v>
      </c>
      <c r="F50" s="16">
        <v>10594247.710000001</v>
      </c>
      <c r="G50" s="3">
        <v>2398</v>
      </c>
      <c r="H50" s="3">
        <v>11673</v>
      </c>
      <c r="I50" s="16">
        <v>6543092.3099999996</v>
      </c>
      <c r="J50" s="3">
        <v>207</v>
      </c>
      <c r="K50" s="3">
        <v>603</v>
      </c>
      <c r="L50" s="16">
        <v>390909.55</v>
      </c>
      <c r="M50" s="3">
        <v>428</v>
      </c>
      <c r="N50" s="3">
        <v>1277</v>
      </c>
      <c r="O50" s="16">
        <v>820377.24</v>
      </c>
      <c r="P50" s="16">
        <v>18348626.809999999</v>
      </c>
      <c r="Q50" s="3">
        <v>9698</v>
      </c>
      <c r="R50" s="15">
        <v>1892.0011146628169</v>
      </c>
      <c r="S50" s="45">
        <f t="shared" si="0"/>
        <v>0.80604248298618275</v>
      </c>
      <c r="T50" s="48">
        <f t="shared" si="1"/>
        <v>18348626.809999999</v>
      </c>
    </row>
    <row r="51" spans="2:20" x14ac:dyDescent="0.3">
      <c r="B51" s="2" t="s">
        <v>95</v>
      </c>
      <c r="C51" s="2">
        <v>2025</v>
      </c>
      <c r="D51" s="3">
        <v>5195</v>
      </c>
      <c r="E51" s="3">
        <v>23382</v>
      </c>
      <c r="F51" s="16">
        <v>10437838.76</v>
      </c>
      <c r="G51" s="3">
        <v>2377</v>
      </c>
      <c r="H51" s="3">
        <v>12072</v>
      </c>
      <c r="I51" s="16">
        <v>6439505.3499999996</v>
      </c>
      <c r="J51" s="3">
        <v>198</v>
      </c>
      <c r="K51" s="3">
        <v>556</v>
      </c>
      <c r="L51" s="16">
        <v>362803.48</v>
      </c>
      <c r="M51" s="3">
        <v>422</v>
      </c>
      <c r="N51" s="3">
        <v>1257</v>
      </c>
      <c r="O51" s="16">
        <v>817023.51</v>
      </c>
      <c r="P51" s="16">
        <v>18057171.100000001</v>
      </c>
      <c r="Q51" s="3">
        <v>9646</v>
      </c>
      <c r="R51" s="15">
        <v>1871.9853929089779</v>
      </c>
      <c r="S51" s="45">
        <f t="shared" si="0"/>
        <v>0.80551523947750359</v>
      </c>
      <c r="T51" s="48">
        <f t="shared" si="1"/>
        <v>18057171.100000001</v>
      </c>
    </row>
    <row r="52" spans="2:20" x14ac:dyDescent="0.3">
      <c r="B52" s="2" t="s">
        <v>96</v>
      </c>
      <c r="C52" s="2">
        <v>2026</v>
      </c>
      <c r="D52" s="3">
        <v>5143</v>
      </c>
      <c r="E52" s="3">
        <v>51459</v>
      </c>
      <c r="F52" s="16">
        <v>10311111.470000001</v>
      </c>
      <c r="G52" s="3">
        <v>2361</v>
      </c>
      <c r="H52" s="3">
        <v>23022</v>
      </c>
      <c r="I52" s="16">
        <v>6403468.9500000002</v>
      </c>
      <c r="J52" s="3">
        <v>181</v>
      </c>
      <c r="K52" s="3">
        <v>564</v>
      </c>
      <c r="L52" s="16">
        <v>333910.05</v>
      </c>
      <c r="M52" s="3">
        <v>416</v>
      </c>
      <c r="N52" s="3">
        <v>1782</v>
      </c>
      <c r="O52" s="16">
        <v>807285.95</v>
      </c>
      <c r="P52" s="16">
        <v>17855776.420000002</v>
      </c>
      <c r="Q52" s="3">
        <v>9611</v>
      </c>
      <c r="R52" s="15">
        <v>1857.8479263344086</v>
      </c>
      <c r="S52" s="45">
        <f t="shared" si="0"/>
        <v>0.79960461970658625</v>
      </c>
      <c r="T52" s="48">
        <f t="shared" si="1"/>
        <v>17855776.420000002</v>
      </c>
    </row>
    <row r="53" spans="2:20" x14ac:dyDescent="0.3">
      <c r="B53" s="2" t="s">
        <v>97</v>
      </c>
      <c r="C53" s="2">
        <v>2026</v>
      </c>
      <c r="D53" s="3">
        <v>5110</v>
      </c>
      <c r="E53" s="3">
        <v>47774</v>
      </c>
      <c r="F53" s="16">
        <v>10240424.810000001</v>
      </c>
      <c r="G53" s="3">
        <v>2342</v>
      </c>
      <c r="H53" s="3">
        <v>21491</v>
      </c>
      <c r="I53" s="16">
        <v>6363460.8799999999</v>
      </c>
      <c r="J53" s="3">
        <v>193</v>
      </c>
      <c r="K53" s="3">
        <v>558</v>
      </c>
      <c r="L53" s="16">
        <v>349954.33</v>
      </c>
      <c r="M53" s="3">
        <v>414</v>
      </c>
      <c r="N53" s="3">
        <v>1606</v>
      </c>
      <c r="O53" s="16">
        <v>792183.47</v>
      </c>
      <c r="P53" s="16">
        <v>17746023.489999998</v>
      </c>
      <c r="Q53" s="3">
        <v>9478</v>
      </c>
      <c r="R53" s="15">
        <v>1872.3384142224097</v>
      </c>
      <c r="S53" s="45">
        <f t="shared" si="0"/>
        <v>0.80660476893859467</v>
      </c>
      <c r="T53" s="48">
        <f t="shared" si="1"/>
        <v>17746023.489999998</v>
      </c>
    </row>
    <row r="54" spans="2:20" x14ac:dyDescent="0.3">
      <c r="B54" s="2" t="s">
        <v>98</v>
      </c>
      <c r="C54" s="2">
        <v>2026</v>
      </c>
      <c r="D54" s="3">
        <v>5088</v>
      </c>
      <c r="E54" s="3">
        <v>54121</v>
      </c>
      <c r="F54" s="16">
        <v>10294328.970000001</v>
      </c>
      <c r="G54" s="3">
        <v>2316</v>
      </c>
      <c r="H54" s="3">
        <v>24323</v>
      </c>
      <c r="I54" s="16">
        <v>6389104.21</v>
      </c>
      <c r="J54" s="3">
        <v>183</v>
      </c>
      <c r="K54" s="3">
        <v>567</v>
      </c>
      <c r="L54" s="16">
        <v>343387.71</v>
      </c>
      <c r="M54" s="3">
        <v>412</v>
      </c>
      <c r="N54" s="3">
        <v>1658</v>
      </c>
      <c r="O54" s="16">
        <v>805606.56</v>
      </c>
      <c r="P54" s="16">
        <v>17832427.449999999</v>
      </c>
      <c r="Q54" s="3">
        <v>9401</v>
      </c>
      <c r="R54" s="15">
        <v>1896.8649558557599</v>
      </c>
      <c r="S54" s="45">
        <f t="shared" si="0"/>
        <v>0.80704180406339754</v>
      </c>
      <c r="T54" s="48">
        <f t="shared" si="1"/>
        <v>17832427.449999999</v>
      </c>
    </row>
  </sheetData>
  <sheetProtection algorithmName="SHA-512" hashValue="9IdpG9zxa9Zo4VkN3R34V1aKdHsjf1f3tUamlJZI07EN1ofn1p7w6xL0d5gmyc8ChRzJggEGDb7wiEL5eP4eQQ==" saltValue="JH6IrTIG+dJOX6HkBur+/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BD0E5-8215-4D2F-B16B-417615A330D9}">
  <sheetPr>
    <tabColor theme="1"/>
  </sheetPr>
  <dimension ref="B2:E28"/>
  <sheetViews>
    <sheetView topLeftCell="A11" zoomScale="115" zoomScaleNormal="115" workbookViewId="0">
      <selection activeCell="D11" sqref="D11 D25"/>
    </sheetView>
  </sheetViews>
  <sheetFormatPr defaultRowHeight="13.8" x14ac:dyDescent="0.3"/>
  <cols>
    <col min="1" max="1" width="2.6640625" customWidth="1"/>
    <col min="2" max="2" width="22.5546875" customWidth="1"/>
    <col min="3" max="4" width="16.44140625" customWidth="1"/>
    <col min="5" max="5" width="28.44140625" customWidth="1"/>
    <col min="6" max="6" width="2.6640625" customWidth="1"/>
  </cols>
  <sheetData>
    <row r="2" spans="2:5" x14ac:dyDescent="0.3">
      <c r="B2" s="5" t="s">
        <v>118</v>
      </c>
    </row>
    <row r="4" spans="2:5" x14ac:dyDescent="0.3">
      <c r="C4" s="57" t="s">
        <v>18</v>
      </c>
      <c r="D4" s="57" t="s">
        <v>20</v>
      </c>
      <c r="E4" s="57" t="s">
        <v>119</v>
      </c>
    </row>
    <row r="5" spans="2:5" x14ac:dyDescent="0.3">
      <c r="B5" s="49" t="s">
        <v>120</v>
      </c>
      <c r="C5" s="54">
        <v>1.8</v>
      </c>
      <c r="D5" s="54">
        <v>2</v>
      </c>
      <c r="E5" s="49" t="s">
        <v>121</v>
      </c>
    </row>
    <row r="6" spans="2:5" x14ac:dyDescent="0.3">
      <c r="B6" s="49" t="s">
        <v>122</v>
      </c>
      <c r="C6" s="51">
        <f>15960*C5</f>
        <v>28728</v>
      </c>
      <c r="D6" s="51">
        <f>15960*D5</f>
        <v>31920</v>
      </c>
      <c r="E6" s="49" t="s">
        <v>123</v>
      </c>
    </row>
    <row r="7" spans="2:5" x14ac:dyDescent="0.3">
      <c r="B7" s="49" t="s">
        <v>124</v>
      </c>
      <c r="C7" s="52">
        <f>C6/12</f>
        <v>2394</v>
      </c>
      <c r="D7" s="52">
        <f>D6/12</f>
        <v>2660</v>
      </c>
      <c r="E7" s="49"/>
    </row>
    <row r="8" spans="2:5" x14ac:dyDescent="0.3">
      <c r="B8" s="49" t="s">
        <v>125</v>
      </c>
      <c r="C8" s="52">
        <v>1397</v>
      </c>
      <c r="D8" s="52">
        <v>1792</v>
      </c>
      <c r="E8" s="49"/>
    </row>
    <row r="9" spans="2:5" x14ac:dyDescent="0.3">
      <c r="B9" s="49" t="s">
        <v>126</v>
      </c>
      <c r="C9" s="52">
        <v>70</v>
      </c>
      <c r="D9" s="52">
        <v>70</v>
      </c>
      <c r="E9" s="49"/>
    </row>
    <row r="10" spans="2:5" ht="28.2" thickBot="1" x14ac:dyDescent="0.35">
      <c r="B10" s="49" t="s">
        <v>127</v>
      </c>
      <c r="C10" s="55">
        <v>202.9</v>
      </c>
      <c r="D10" s="55">
        <v>202.9</v>
      </c>
      <c r="E10" s="56" t="s">
        <v>128</v>
      </c>
    </row>
    <row r="11" spans="2:5" ht="28.2" thickTop="1" x14ac:dyDescent="0.3">
      <c r="B11" s="49" t="s">
        <v>129</v>
      </c>
      <c r="C11" s="52">
        <f>C7-C8-C9-C10</f>
        <v>724.1</v>
      </c>
      <c r="D11" s="52">
        <f>D7-D8-D9-D10</f>
        <v>595.1</v>
      </c>
      <c r="E11" s="49" t="s">
        <v>130</v>
      </c>
    </row>
    <row r="13" spans="2:5" x14ac:dyDescent="0.3">
      <c r="C13" s="57" t="s">
        <v>18</v>
      </c>
      <c r="D13" s="57" t="s">
        <v>20</v>
      </c>
      <c r="E13" s="57" t="s">
        <v>119</v>
      </c>
    </row>
    <row r="14" spans="2:5" x14ac:dyDescent="0.3">
      <c r="B14" s="49" t="s">
        <v>120</v>
      </c>
      <c r="C14" s="54">
        <v>1.255563909774436</v>
      </c>
      <c r="D14" s="54">
        <v>1.5525563909774438</v>
      </c>
      <c r="E14" s="49" t="s">
        <v>131</v>
      </c>
    </row>
    <row r="15" spans="2:5" x14ac:dyDescent="0.3">
      <c r="B15" s="49" t="s">
        <v>122</v>
      </c>
      <c r="C15" s="51">
        <f>15960*C14</f>
        <v>20038.8</v>
      </c>
      <c r="D15" s="51">
        <f>15960*D14</f>
        <v>24778.800000000003</v>
      </c>
      <c r="E15" s="49" t="s">
        <v>132</v>
      </c>
    </row>
    <row r="16" spans="2:5" x14ac:dyDescent="0.3">
      <c r="B16" s="49" t="s">
        <v>124</v>
      </c>
      <c r="C16" s="52">
        <f>C15/12</f>
        <v>1669.8999999999999</v>
      </c>
      <c r="D16" s="52">
        <f>D15/12</f>
        <v>2064.9</v>
      </c>
      <c r="E16" s="49"/>
    </row>
    <row r="17" spans="2:5" x14ac:dyDescent="0.3">
      <c r="B17" s="49" t="s">
        <v>125</v>
      </c>
      <c r="C17" s="52">
        <v>1397</v>
      </c>
      <c r="D17" s="52">
        <v>1792</v>
      </c>
      <c r="E17" s="49"/>
    </row>
    <row r="18" spans="2:5" x14ac:dyDescent="0.3">
      <c r="B18" s="49" t="s">
        <v>126</v>
      </c>
      <c r="C18" s="52">
        <v>70</v>
      </c>
      <c r="D18" s="52">
        <v>70</v>
      </c>
      <c r="E18" s="49"/>
    </row>
    <row r="19" spans="2:5" ht="28.2" thickBot="1" x14ac:dyDescent="0.35">
      <c r="B19" s="49" t="s">
        <v>127</v>
      </c>
      <c r="C19" s="55">
        <v>202.9</v>
      </c>
      <c r="D19" s="55">
        <v>202.9</v>
      </c>
      <c r="E19" s="56" t="s">
        <v>128</v>
      </c>
    </row>
    <row r="20" spans="2:5" ht="28.2" thickTop="1" x14ac:dyDescent="0.3">
      <c r="B20" s="49" t="s">
        <v>129</v>
      </c>
      <c r="C20" s="52">
        <f>C16-C17-C18-C19</f>
        <v>0</v>
      </c>
      <c r="D20" s="52">
        <f>D16-D17-D18-D19</f>
        <v>0</v>
      </c>
      <c r="E20" s="49" t="s">
        <v>130</v>
      </c>
    </row>
    <row r="22" spans="2:5" x14ac:dyDescent="0.3">
      <c r="B22" s="58" t="s">
        <v>133</v>
      </c>
    </row>
    <row r="23" spans="2:5" x14ac:dyDescent="0.3">
      <c r="C23" s="57" t="s">
        <v>18</v>
      </c>
      <c r="D23" s="57" t="s">
        <v>20</v>
      </c>
    </row>
    <row r="24" spans="2:5" x14ac:dyDescent="0.3">
      <c r="B24" t="s">
        <v>134</v>
      </c>
      <c r="C24" s="50">
        <f>SUMPRODUCT(Projection!N16:'Projection'!N17,Projection!L16:'Projection'!L17)/SUM(Projection!L16:'Projection'!L17)*(1+Projection!C31)</f>
        <v>2019.1735242884349</v>
      </c>
      <c r="D24" s="50">
        <f>Projection!N18*(1+Projection!C31)</f>
        <v>2745.8037981095486</v>
      </c>
    </row>
    <row r="25" spans="2:5" x14ac:dyDescent="0.3">
      <c r="B25" t="s">
        <v>135</v>
      </c>
      <c r="C25" s="54">
        <v>0.5</v>
      </c>
      <c r="D25" s="54">
        <v>0.5</v>
      </c>
    </row>
    <row r="26" spans="2:5" x14ac:dyDescent="0.3">
      <c r="B26" t="s">
        <v>136</v>
      </c>
      <c r="C26" s="50">
        <f>C11*C25</f>
        <v>362.05</v>
      </c>
      <c r="D26" s="50">
        <f>D11*D25</f>
        <v>297.55</v>
      </c>
    </row>
    <row r="27" spans="2:5" x14ac:dyDescent="0.3">
      <c r="B27" t="s">
        <v>137</v>
      </c>
      <c r="C27" s="50">
        <f>C24-C26</f>
        <v>1657.123524288435</v>
      </c>
      <c r="D27" s="50">
        <f>D24-D26</f>
        <v>2448.2537981095484</v>
      </c>
    </row>
    <row r="28" spans="2:5" x14ac:dyDescent="0.3">
      <c r="B28" t="s">
        <v>138</v>
      </c>
      <c r="C28" s="53">
        <f>C27/C24</f>
        <v>0.82069396431513342</v>
      </c>
      <c r="D28" s="53">
        <f>D27/D24</f>
        <v>0.89163464621730815</v>
      </c>
    </row>
  </sheetData>
  <sheetProtection algorithmName="SHA-512" hashValue="DA69xnp8QzyUvvihp338QQ2A68gc3jre6RAl8HaijRLz5CpPOb8GSICJg175WasEfIx2yZeNj8VprN+/MGd39A==" saltValue="ua/r/u+8mc01oElzxW5DL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57DFCF69FCAC499EE3EFC558C04815" ma:contentTypeVersion="19" ma:contentTypeDescription="Create a new document." ma:contentTypeScope="" ma:versionID="fe7744c3a6f689b1341c9bf1e3a7807c">
  <xsd:schema xmlns:xsd="http://www.w3.org/2001/XMLSchema" xmlns:xs="http://www.w3.org/2001/XMLSchema" xmlns:p="http://schemas.microsoft.com/office/2006/metadata/properties" xmlns:ns2="0a8c763b-14aa-4ff1-90fb-f88608e2a4e2" xmlns:ns3="9cbbdc63-e1bf-4e5c-8217-afd103a75092" targetNamespace="http://schemas.microsoft.com/office/2006/metadata/properties" ma:root="true" ma:fieldsID="49d887891278223c94ccbbab216a7d05" ns2:_="" ns3:_="">
    <xsd:import namespace="0a8c763b-14aa-4ff1-90fb-f88608e2a4e2"/>
    <xsd:import namespace="9cbbdc63-e1bf-4e5c-8217-afd103a7509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Image"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8c763b-14aa-4ff1-90fb-f88608e2a4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Image" ma:index="18" nillable="true" ma:displayName="Image" ma:format="Thumbnail" ma:internalName="Imag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bbdc63-e1bf-4e5c-8217-afd103a750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9e63e5a-48bb-4a5b-a817-e7743c93403a}" ma:internalName="TaxCatchAll" ma:showField="CatchAllData" ma:web="9cbbdc63-e1bf-4e5c-8217-afd103a750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8c763b-14aa-4ff1-90fb-f88608e2a4e2">
      <Terms xmlns="http://schemas.microsoft.com/office/infopath/2007/PartnerControls"/>
    </lcf76f155ced4ddcb4097134ff3c332f>
    <TaxCatchAll xmlns="9cbbdc63-e1bf-4e5c-8217-afd103a75092" xsi:nil="true"/>
    <Image xmlns="0a8c763b-14aa-4ff1-90fb-f88608e2a4e2" xsi:nil="true"/>
  </documentManagement>
</p:properties>
</file>

<file path=customXml/itemProps1.xml><?xml version="1.0" encoding="utf-8"?>
<ds:datastoreItem xmlns:ds="http://schemas.openxmlformats.org/officeDocument/2006/customXml" ds:itemID="{643218B0-CBBF-49F8-B24C-BC324CD57AC8}">
  <ds:schemaRefs>
    <ds:schemaRef ds:uri="http://schemas.microsoft.com/sharepoint/v3/contenttype/forms"/>
  </ds:schemaRefs>
</ds:datastoreItem>
</file>

<file path=customXml/itemProps2.xml><?xml version="1.0" encoding="utf-8"?>
<ds:datastoreItem xmlns:ds="http://schemas.openxmlformats.org/officeDocument/2006/customXml" ds:itemID="{EAAA5412-B9C2-4223-A728-8A85093CD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8c763b-14aa-4ff1-90fb-f88608e2a4e2"/>
    <ds:schemaRef ds:uri="9cbbdc63-e1bf-4e5c-8217-afd103a750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447371-15C8-4D3A-B96E-B7F877F2E3D7}">
  <ds:schemaRefs>
    <ds:schemaRef ds:uri="9cbbdc63-e1bf-4e5c-8217-afd103a75092"/>
    <ds:schemaRef ds:uri="http://purl.org/dc/dcmitype/"/>
    <ds:schemaRef ds:uri="http://www.w3.org/XML/1998/namespace"/>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0a8c763b-14aa-4ff1-90fb-f88608e2a4e2"/>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Projection</vt:lpstr>
      <vt:lpstr>Enrollment</vt:lpstr>
      <vt:lpstr>Claims</vt:lpstr>
      <vt:lpstr>Claims- W-Med Only</vt:lpstr>
      <vt:lpstr>Claims- WO-Med Only</vt:lpstr>
      <vt:lpstr>Patient Liab Calc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Elrycc Berkman</dc:creator>
  <cp:keywords/>
  <dc:description/>
  <cp:lastModifiedBy>Coleman, Scott (DHB)</cp:lastModifiedBy>
  <cp:revision/>
  <dcterms:created xsi:type="dcterms:W3CDTF">2026-07-16T04:37:37Z</dcterms:created>
  <dcterms:modified xsi:type="dcterms:W3CDTF">2026-09-04T18:13:17Z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0x010100B757DFCF69FCAC499EE3EFC558C04815</vt:lpwstr>
  </property>
  <property fmtid="{D5CDD505-2E9C-101B-9397-08002B2CF9AE}" pid="3" name="MediaServiceImageTags">
    <vt:lpwstr/>
  </property>
</Properties>
</file>