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64011"/>
  <mc:AlternateContent xmlns:mc="http://schemas.openxmlformats.org/markup-compatibility/2006">
    <mc:Choice Requires="x15">
      <x15ac:absPath xmlns:x15ac="http://schemas.microsoft.com/office/spreadsheetml/2010/11/ac" url="K:\Data Requests\Emad Attiah\2017-5240-Janice Norris-BIO-SFY2017 Annual Tables Reporting\SFY2017-Final Report and Code\"/>
    </mc:Choice>
  </mc:AlternateContent>
  <bookViews>
    <workbookView xWindow="0" yWindow="0" windowWidth="19200" windowHeight="11955"/>
  </bookViews>
  <sheets>
    <sheet name="Table3 Providers" sheetId="10" r:id="rId1"/>
    <sheet name="Table 4 Sources" sheetId="11" r:id="rId2"/>
    <sheet name="Table 5 Expenditure History" sheetId="12" r:id="rId3"/>
    <sheet name="Table 6 Eligibility History" sheetId="9" r:id="rId4"/>
    <sheet name="Table 7 Elig. &amp; Prgm Payments" sheetId="7" r:id="rId5"/>
    <sheet name="Table 8 Expenditure" sheetId="5" r:id="rId6"/>
    <sheet name="Table 9 Exp by Recip Grp" sheetId="6" r:id="rId7"/>
    <sheet name="Table10_Prog_Exp_by_Prog_Categ" sheetId="1" r:id="rId8"/>
    <sheet name="TABLE11_Prog_Exp_for_Elderly" sheetId="2" r:id="rId9"/>
    <sheet name="TABLE12_Prog_Exp_Blind_Disabled" sheetId="3" r:id="rId10"/>
    <sheet name="Table 13 Exp for Fam. &amp; Child." sheetId="4" r:id="rId11"/>
    <sheet name="Table 14 Exp MedSol,Alien,adju" sheetId="8" r:id="rId1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1" l="1"/>
  <c r="B39" i="5" l="1"/>
  <c r="D28" i="8" l="1"/>
  <c r="C28" i="8"/>
  <c r="B28" i="8"/>
  <c r="I16" i="12" l="1"/>
  <c r="J16" i="12" s="1"/>
  <c r="B16" i="12"/>
  <c r="F16" i="12" s="1"/>
  <c r="G16" i="12" s="1"/>
  <c r="I15" i="12"/>
  <c r="J15" i="12" s="1"/>
  <c r="F15" i="12"/>
  <c r="G15" i="12" s="1"/>
  <c r="B15" i="12"/>
  <c r="C15" i="12" s="1"/>
  <c r="J14" i="12"/>
  <c r="F14" i="12"/>
  <c r="G14" i="12" s="1"/>
  <c r="C14" i="12"/>
  <c r="J13" i="12"/>
  <c r="G13" i="12"/>
  <c r="F13" i="12"/>
  <c r="C13" i="12"/>
  <c r="F12" i="12"/>
  <c r="C12" i="12"/>
  <c r="I11" i="12"/>
  <c r="F11" i="12" s="1"/>
  <c r="G11" i="12" s="1"/>
  <c r="C11" i="12"/>
  <c r="I10" i="12"/>
  <c r="J10" i="12" s="1"/>
  <c r="F10" i="12"/>
  <c r="C10" i="12"/>
  <c r="I9" i="12"/>
  <c r="J9" i="12" s="1"/>
  <c r="C9" i="12"/>
  <c r="I8" i="12"/>
  <c r="F8" i="12" s="1"/>
  <c r="G8" i="12" s="1"/>
  <c r="C8" i="12"/>
  <c r="I7" i="12"/>
  <c r="F7" i="12"/>
  <c r="E16" i="11"/>
  <c r="E14" i="11"/>
  <c r="E13" i="11"/>
  <c r="G11" i="11"/>
  <c r="G16" i="11" s="1"/>
  <c r="F11" i="11"/>
  <c r="F16" i="11" s="1"/>
  <c r="B11" i="11"/>
  <c r="H10" i="11"/>
  <c r="D10" i="11"/>
  <c r="C10" i="11"/>
  <c r="C16" i="11" s="1"/>
  <c r="B10" i="11"/>
  <c r="B16" i="11" s="1"/>
  <c r="I9" i="11"/>
  <c r="H9" i="11"/>
  <c r="E9" i="11"/>
  <c r="E15" i="11" s="1"/>
  <c r="I8" i="11"/>
  <c r="H8" i="11"/>
  <c r="D8" i="11"/>
  <c r="C8" i="11"/>
  <c r="C14" i="11" s="1"/>
  <c r="B8" i="11"/>
  <c r="B14" i="11" s="1"/>
  <c r="I7" i="11"/>
  <c r="H7" i="11"/>
  <c r="D7" i="11"/>
  <c r="C7" i="11"/>
  <c r="C13" i="11" s="1"/>
  <c r="B7" i="11"/>
  <c r="B13" i="11" s="1"/>
  <c r="G10" i="12" l="1"/>
  <c r="G12" i="12"/>
  <c r="J11" i="12"/>
  <c r="F9" i="12"/>
  <c r="G9" i="12" s="1"/>
  <c r="J12" i="12"/>
  <c r="C16" i="12"/>
  <c r="J8" i="12"/>
  <c r="C17" i="11"/>
  <c r="B17" i="11"/>
  <c r="H14" i="11"/>
  <c r="E17" i="11"/>
  <c r="B9" i="11"/>
  <c r="B15" i="11" s="1"/>
  <c r="C9" i="11"/>
  <c r="C15" i="11" s="1"/>
  <c r="F13" i="11"/>
  <c r="F14" i="11"/>
  <c r="F15" i="11"/>
  <c r="G13" i="11"/>
  <c r="G14" i="11"/>
  <c r="G15" i="11"/>
  <c r="H11" i="11"/>
  <c r="I11" i="11"/>
  <c r="I16" i="11" s="1"/>
  <c r="C30" i="10"/>
  <c r="B30" i="10"/>
  <c r="F17" i="11" l="1"/>
  <c r="I14" i="11"/>
  <c r="H16" i="11"/>
  <c r="H15" i="11"/>
  <c r="H13" i="11"/>
  <c r="I15" i="11"/>
  <c r="G17" i="11"/>
  <c r="I13" i="11"/>
  <c r="B36" i="8"/>
  <c r="B40" i="8" s="1"/>
  <c r="D34" i="8"/>
  <c r="D36" i="8" s="1"/>
  <c r="D40" i="8" s="1"/>
  <c r="C34" i="8"/>
  <c r="C36" i="8" s="1"/>
  <c r="C40" i="8" s="1"/>
  <c r="I17" i="11" l="1"/>
  <c r="H17" i="11"/>
  <c r="N47" i="9"/>
  <c r="M47" i="9"/>
  <c r="L47" i="9"/>
  <c r="K47" i="9"/>
  <c r="J47" i="9"/>
  <c r="I47" i="9"/>
  <c r="H47" i="9"/>
  <c r="G47" i="9"/>
  <c r="F47" i="9"/>
  <c r="E47" i="9"/>
  <c r="D47" i="9"/>
  <c r="C47" i="9"/>
  <c r="B47" i="9"/>
  <c r="N45" i="9"/>
  <c r="I48" i="9" s="1"/>
  <c r="N43" i="9"/>
  <c r="N42" i="9"/>
  <c r="O41" i="9"/>
  <c r="O40" i="9"/>
  <c r="O39" i="9"/>
  <c r="O38" i="9"/>
  <c r="O37" i="9"/>
  <c r="O36" i="9"/>
  <c r="E36" i="9"/>
  <c r="O35" i="9"/>
  <c r="O34" i="9"/>
  <c r="O33" i="9"/>
  <c r="O32" i="9"/>
  <c r="O31" i="9"/>
  <c r="O30" i="9"/>
  <c r="O29" i="9"/>
  <c r="O28" i="9"/>
  <c r="O27" i="9"/>
  <c r="O26" i="9"/>
  <c r="O25" i="9"/>
  <c r="O24" i="9"/>
  <c r="O23" i="9"/>
  <c r="O22" i="9"/>
  <c r="O21" i="9"/>
  <c r="O20" i="9"/>
  <c r="O19" i="9"/>
  <c r="O18" i="9"/>
  <c r="O17" i="9"/>
  <c r="O16" i="9"/>
  <c r="O15" i="9"/>
  <c r="O14" i="9"/>
  <c r="O13" i="9"/>
  <c r="O12" i="9"/>
  <c r="O11" i="9"/>
  <c r="O10" i="9"/>
  <c r="O9" i="9"/>
  <c r="O8" i="9"/>
  <c r="O43" i="9" l="1"/>
  <c r="B48" i="9"/>
  <c r="O44" i="9"/>
  <c r="J48" i="9"/>
  <c r="C48" i="9"/>
  <c r="K48" i="9"/>
  <c r="O45" i="9"/>
  <c r="D48" i="9"/>
  <c r="L48" i="9"/>
  <c r="E48" i="9"/>
  <c r="M48" i="9"/>
  <c r="F48" i="9"/>
  <c r="N48" i="9"/>
  <c r="G48" i="9"/>
  <c r="H48" i="9"/>
  <c r="I34" i="1" l="1"/>
  <c r="P19" i="4"/>
  <c r="P9" i="4"/>
  <c r="P10" i="4"/>
  <c r="P33" i="4"/>
  <c r="P32" i="4"/>
  <c r="P31" i="4"/>
  <c r="P8" i="4"/>
  <c r="P11" i="4"/>
  <c r="P12" i="4"/>
  <c r="P13" i="4"/>
  <c r="P14" i="4"/>
  <c r="P15" i="4"/>
  <c r="P16" i="4"/>
  <c r="P17" i="4"/>
  <c r="P18" i="4"/>
  <c r="P20" i="4"/>
  <c r="P21" i="4"/>
  <c r="P22" i="4"/>
  <c r="P23" i="4"/>
  <c r="P24" i="4"/>
  <c r="P25" i="4"/>
  <c r="P26" i="4"/>
  <c r="P27" i="4"/>
  <c r="P7" i="4"/>
  <c r="I38" i="1"/>
  <c r="I36" i="1"/>
  <c r="D34" i="4"/>
  <c r="F34" i="4"/>
  <c r="H34" i="4"/>
  <c r="J34" i="4"/>
  <c r="L34" i="4"/>
  <c r="N34" i="4"/>
  <c r="B34" i="4"/>
  <c r="P34" i="4" l="1"/>
  <c r="P28" i="4"/>
  <c r="D28" i="4"/>
  <c r="F28" i="4"/>
  <c r="H28" i="4"/>
  <c r="J28" i="4"/>
  <c r="L28" i="4"/>
  <c r="N28" i="4"/>
  <c r="B28" i="4"/>
  <c r="F9" i="3"/>
  <c r="F38" i="3"/>
  <c r="F8" i="3"/>
  <c r="F10" i="3"/>
  <c r="F11" i="3"/>
  <c r="F12" i="3"/>
  <c r="F13" i="3"/>
  <c r="F14" i="3"/>
  <c r="F15" i="3"/>
  <c r="F16" i="3"/>
  <c r="F17" i="3"/>
  <c r="F18" i="3"/>
  <c r="F19" i="3"/>
  <c r="F20" i="3"/>
  <c r="F21" i="3"/>
  <c r="F22" i="3"/>
  <c r="F23" i="3"/>
  <c r="F24" i="3"/>
  <c r="F25" i="3"/>
  <c r="F26" i="3"/>
  <c r="F27" i="3"/>
  <c r="F31" i="3"/>
  <c r="F32" i="3"/>
  <c r="F33" i="3"/>
  <c r="F7" i="3"/>
  <c r="D34" i="3"/>
  <c r="B34" i="3"/>
  <c r="B28" i="3"/>
  <c r="B36" i="3" s="1"/>
  <c r="C9" i="3" s="1"/>
  <c r="D28" i="3"/>
  <c r="F38" i="2"/>
  <c r="H38" i="2" s="1"/>
  <c r="F25" i="2"/>
  <c r="H25" i="2" s="1"/>
  <c r="F14" i="2"/>
  <c r="H14" i="2" s="1"/>
  <c r="F33" i="2"/>
  <c r="F32" i="2"/>
  <c r="H32" i="2" s="1"/>
  <c r="F31" i="2"/>
  <c r="H31" i="2" s="1"/>
  <c r="D34" i="2"/>
  <c r="E34" i="2"/>
  <c r="B34" i="2"/>
  <c r="F8" i="2"/>
  <c r="H8" i="2" s="1"/>
  <c r="F9" i="2"/>
  <c r="H9" i="2" s="1"/>
  <c r="F11" i="2"/>
  <c r="H11" i="2" s="1"/>
  <c r="F12" i="2"/>
  <c r="F13" i="2"/>
  <c r="H13" i="2" s="1"/>
  <c r="F15" i="2"/>
  <c r="H15" i="2" s="1"/>
  <c r="F16" i="2"/>
  <c r="H16" i="2" s="1"/>
  <c r="F17" i="2"/>
  <c r="H17" i="2" s="1"/>
  <c r="F18" i="2"/>
  <c r="H18" i="2" s="1"/>
  <c r="F19" i="2"/>
  <c r="H19" i="2" s="1"/>
  <c r="F20" i="2"/>
  <c r="H20" i="2" s="1"/>
  <c r="F21" i="2"/>
  <c r="H21" i="2" s="1"/>
  <c r="F22" i="2"/>
  <c r="H22" i="2" s="1"/>
  <c r="F23" i="2"/>
  <c r="H23" i="2" s="1"/>
  <c r="F24" i="2"/>
  <c r="H24" i="2" s="1"/>
  <c r="F26" i="2"/>
  <c r="H26" i="2" s="1"/>
  <c r="F27" i="2"/>
  <c r="H27" i="2" s="1"/>
  <c r="F7" i="2"/>
  <c r="H7" i="2" s="1"/>
  <c r="D28" i="2"/>
  <c r="E28" i="2"/>
  <c r="B28" i="2"/>
  <c r="D36" i="3" l="1"/>
  <c r="D39" i="3" s="1"/>
  <c r="D36" i="4"/>
  <c r="E28" i="4" s="1"/>
  <c r="B36" i="4"/>
  <c r="C28" i="4" s="1"/>
  <c r="N36" i="4"/>
  <c r="O28" i="4" s="1"/>
  <c r="L36" i="4"/>
  <c r="M28" i="4" s="1"/>
  <c r="J36" i="4"/>
  <c r="K28" i="4" s="1"/>
  <c r="F36" i="4"/>
  <c r="H36" i="4"/>
  <c r="I28" i="4" s="1"/>
  <c r="P36" i="4"/>
  <c r="C25" i="3"/>
  <c r="C12" i="3"/>
  <c r="C20" i="3"/>
  <c r="E22" i="3"/>
  <c r="C28" i="3"/>
  <c r="E18" i="3"/>
  <c r="F34" i="3"/>
  <c r="E14" i="3"/>
  <c r="E11" i="3"/>
  <c r="F28" i="3"/>
  <c r="E26" i="3"/>
  <c r="C7" i="3"/>
  <c r="C17" i="3"/>
  <c r="C8" i="3"/>
  <c r="C34" i="3"/>
  <c r="C24" i="3"/>
  <c r="C16" i="3"/>
  <c r="C36" i="3"/>
  <c r="C33" i="3"/>
  <c r="C23" i="3"/>
  <c r="C15" i="3"/>
  <c r="E17" i="3"/>
  <c r="E8" i="3"/>
  <c r="C32" i="3"/>
  <c r="C22" i="3"/>
  <c r="C14" i="3"/>
  <c r="E36" i="3"/>
  <c r="C31" i="3"/>
  <c r="C21" i="3"/>
  <c r="C13" i="3"/>
  <c r="E33" i="3"/>
  <c r="C27" i="3"/>
  <c r="C19" i="3"/>
  <c r="C11" i="3"/>
  <c r="B39" i="3"/>
  <c r="C26" i="3"/>
  <c r="C18" i="3"/>
  <c r="C10" i="3"/>
  <c r="D36" i="2"/>
  <c r="D39" i="2" s="1"/>
  <c r="B36" i="2"/>
  <c r="B39" i="2" s="1"/>
  <c r="E36" i="2"/>
  <c r="E39" i="2" s="1"/>
  <c r="F34" i="2"/>
  <c r="H33" i="2"/>
  <c r="H34" i="2" s="1"/>
  <c r="F28" i="2"/>
  <c r="H12" i="2"/>
  <c r="H28" i="2" s="1"/>
  <c r="E28" i="3" l="1"/>
  <c r="E9" i="3"/>
  <c r="E12" i="3"/>
  <c r="E16" i="3"/>
  <c r="E25" i="3"/>
  <c r="E27" i="3"/>
  <c r="E19" i="3"/>
  <c r="E20" i="3"/>
  <c r="E15" i="3"/>
  <c r="E24" i="3"/>
  <c r="E7" i="3"/>
  <c r="E13" i="3"/>
  <c r="E21" i="3"/>
  <c r="E23" i="3"/>
  <c r="E34" i="3"/>
  <c r="E31" i="3"/>
  <c r="E10" i="3"/>
  <c r="E32" i="3"/>
  <c r="B40" i="4"/>
  <c r="C11" i="4"/>
  <c r="C19" i="4"/>
  <c r="C27" i="4"/>
  <c r="C13" i="4"/>
  <c r="C31" i="4"/>
  <c r="C14" i="4"/>
  <c r="C22" i="4"/>
  <c r="C23" i="4"/>
  <c r="C8" i="4"/>
  <c r="C7" i="4"/>
  <c r="C12" i="4"/>
  <c r="C20" i="4"/>
  <c r="C21" i="4"/>
  <c r="C24" i="4"/>
  <c r="C9" i="4"/>
  <c r="C17" i="4"/>
  <c r="C25" i="4"/>
  <c r="C36" i="4"/>
  <c r="C10" i="4"/>
  <c r="C18" i="4"/>
  <c r="C26" i="4"/>
  <c r="C32" i="4"/>
  <c r="C15" i="4"/>
  <c r="C33" i="4"/>
  <c r="C16" i="4"/>
  <c r="C34" i="4"/>
  <c r="L40" i="4"/>
  <c r="M13" i="4"/>
  <c r="M21" i="4"/>
  <c r="M31" i="4"/>
  <c r="M7" i="4"/>
  <c r="M15" i="4"/>
  <c r="M23" i="4"/>
  <c r="M33" i="4"/>
  <c r="M24" i="4"/>
  <c r="M25" i="4"/>
  <c r="M18" i="4"/>
  <c r="M26" i="4"/>
  <c r="M14" i="4"/>
  <c r="M22" i="4"/>
  <c r="M32" i="4"/>
  <c r="M16" i="4"/>
  <c r="M10" i="4"/>
  <c r="M11" i="4"/>
  <c r="M19" i="4"/>
  <c r="M27" i="4"/>
  <c r="M12" i="4"/>
  <c r="M20" i="4"/>
  <c r="M8" i="4"/>
  <c r="M9" i="4"/>
  <c r="M17" i="4"/>
  <c r="M36" i="4"/>
  <c r="M34" i="4"/>
  <c r="D40" i="4"/>
  <c r="E13" i="4"/>
  <c r="E21" i="4"/>
  <c r="E31" i="4"/>
  <c r="E15" i="4"/>
  <c r="E23" i="4"/>
  <c r="E33" i="4"/>
  <c r="E16" i="4"/>
  <c r="E17" i="4"/>
  <c r="E36" i="4"/>
  <c r="E18" i="4"/>
  <c r="E14" i="4"/>
  <c r="E22" i="4"/>
  <c r="E32" i="4"/>
  <c r="E24" i="4"/>
  <c r="E7" i="4"/>
  <c r="E11" i="4"/>
  <c r="E19" i="4"/>
  <c r="E27" i="4"/>
  <c r="E12" i="4"/>
  <c r="E20" i="4"/>
  <c r="E8" i="4"/>
  <c r="E34" i="4"/>
  <c r="E9" i="4"/>
  <c r="E25" i="4"/>
  <c r="E10" i="4"/>
  <c r="E26" i="4"/>
  <c r="H40" i="4"/>
  <c r="I9" i="4"/>
  <c r="I17" i="4"/>
  <c r="I25" i="4"/>
  <c r="I36" i="4"/>
  <c r="I11" i="4"/>
  <c r="I19" i="4"/>
  <c r="I7" i="4"/>
  <c r="I31" i="4"/>
  <c r="I14" i="4"/>
  <c r="I32" i="4"/>
  <c r="I10" i="4"/>
  <c r="I18" i="4"/>
  <c r="I26" i="4"/>
  <c r="I27" i="4"/>
  <c r="I15" i="4"/>
  <c r="I23" i="4"/>
  <c r="I33" i="4"/>
  <c r="I8" i="4"/>
  <c r="I16" i="4"/>
  <c r="I24" i="4"/>
  <c r="I12" i="4"/>
  <c r="I20" i="4"/>
  <c r="I13" i="4"/>
  <c r="I21" i="4"/>
  <c r="I22" i="4"/>
  <c r="I34" i="4"/>
  <c r="F40" i="4"/>
  <c r="G15" i="4"/>
  <c r="G23" i="4"/>
  <c r="G33" i="4"/>
  <c r="G9" i="4"/>
  <c r="G17" i="4"/>
  <c r="G36" i="4"/>
  <c r="G26" i="4"/>
  <c r="G27" i="4"/>
  <c r="G8" i="4"/>
  <c r="G16" i="4"/>
  <c r="G24" i="4"/>
  <c r="G25" i="4"/>
  <c r="G18" i="4"/>
  <c r="G7" i="4"/>
  <c r="G19" i="4"/>
  <c r="G13" i="4"/>
  <c r="G21" i="4"/>
  <c r="G31" i="4"/>
  <c r="G14" i="4"/>
  <c r="G22" i="4"/>
  <c r="G32" i="4"/>
  <c r="G10" i="4"/>
  <c r="G11" i="4"/>
  <c r="G12" i="4"/>
  <c r="G20" i="4"/>
  <c r="G34" i="4"/>
  <c r="J40" i="4"/>
  <c r="K11" i="4"/>
  <c r="K19" i="4"/>
  <c r="K27" i="4"/>
  <c r="K13" i="4"/>
  <c r="K31" i="4"/>
  <c r="K22" i="4"/>
  <c r="K15" i="4"/>
  <c r="K33" i="4"/>
  <c r="K16" i="4"/>
  <c r="K24" i="4"/>
  <c r="K12" i="4"/>
  <c r="K20" i="4"/>
  <c r="K7" i="4"/>
  <c r="K21" i="4"/>
  <c r="K32" i="4"/>
  <c r="K9" i="4"/>
  <c r="K17" i="4"/>
  <c r="K25" i="4"/>
  <c r="K36" i="4"/>
  <c r="K10" i="4"/>
  <c r="K18" i="4"/>
  <c r="K26" i="4"/>
  <c r="K14" i="4"/>
  <c r="K23" i="4"/>
  <c r="K8" i="4"/>
  <c r="K34" i="4"/>
  <c r="C34" i="2"/>
  <c r="G28" i="4"/>
  <c r="N40" i="4"/>
  <c r="O15" i="4"/>
  <c r="O23" i="4"/>
  <c r="O33" i="4"/>
  <c r="O9" i="4"/>
  <c r="O25" i="4"/>
  <c r="O36" i="4"/>
  <c r="O10" i="4"/>
  <c r="O19" i="4"/>
  <c r="O12" i="4"/>
  <c r="O8" i="4"/>
  <c r="O16" i="4"/>
  <c r="O24" i="4"/>
  <c r="O17" i="4"/>
  <c r="O18" i="4"/>
  <c r="O27" i="4"/>
  <c r="O13" i="4"/>
  <c r="O21" i="4"/>
  <c r="O31" i="4"/>
  <c r="O14" i="4"/>
  <c r="O22" i="4"/>
  <c r="O32" i="4"/>
  <c r="O7" i="4"/>
  <c r="O26" i="4"/>
  <c r="O11" i="4"/>
  <c r="O20" i="4"/>
  <c r="O34" i="4"/>
  <c r="P40" i="4"/>
  <c r="Q8" i="4"/>
  <c r="Q36" i="4"/>
  <c r="Q18" i="4"/>
  <c r="Q11" i="4"/>
  <c r="Q27" i="4"/>
  <c r="Q12" i="4"/>
  <c r="Q20" i="4"/>
  <c r="Q13" i="4"/>
  <c r="Q21" i="4"/>
  <c r="Q14" i="4"/>
  <c r="Q22" i="4"/>
  <c r="Q15" i="4"/>
  <c r="Q33" i="4"/>
  <c r="Q10" i="4"/>
  <c r="Q9" i="4"/>
  <c r="Q19" i="4"/>
  <c r="Q25" i="4"/>
  <c r="Q7" i="4"/>
  <c r="Q16" i="4"/>
  <c r="Q26" i="4"/>
  <c r="Q32" i="4"/>
  <c r="Q17" i="4"/>
  <c r="Q24" i="4"/>
  <c r="Q31" i="4"/>
  <c r="Q23" i="4"/>
  <c r="Q28" i="4"/>
  <c r="Q34" i="4"/>
  <c r="F36" i="3"/>
  <c r="C8" i="2"/>
  <c r="C16" i="2"/>
  <c r="C24" i="2"/>
  <c r="C7" i="2"/>
  <c r="C19" i="2"/>
  <c r="C13" i="2"/>
  <c r="C31" i="2"/>
  <c r="C9" i="2"/>
  <c r="C17" i="2"/>
  <c r="C25" i="2"/>
  <c r="C36" i="2"/>
  <c r="C10" i="2"/>
  <c r="C18" i="2"/>
  <c r="C11" i="2"/>
  <c r="C27" i="2"/>
  <c r="C12" i="2"/>
  <c r="C28" i="2"/>
  <c r="C14" i="2"/>
  <c r="C22" i="2"/>
  <c r="C32" i="2"/>
  <c r="C15" i="2"/>
  <c r="C23" i="2"/>
  <c r="C33" i="2"/>
  <c r="C26" i="2"/>
  <c r="C20" i="2"/>
  <c r="C21" i="2"/>
  <c r="H36" i="2"/>
  <c r="F36" i="2"/>
  <c r="F39" i="2" s="1"/>
  <c r="F39" i="3" l="1"/>
  <c r="G8" i="3"/>
  <c r="G24" i="3"/>
  <c r="G17" i="3"/>
  <c r="G16" i="3"/>
  <c r="G9" i="3"/>
  <c r="G25" i="3"/>
  <c r="G18" i="3"/>
  <c r="G15" i="3"/>
  <c r="G23" i="3"/>
  <c r="G33" i="3"/>
  <c r="G36" i="3"/>
  <c r="G10" i="3"/>
  <c r="G26" i="3"/>
  <c r="G7" i="3"/>
  <c r="G32" i="3"/>
  <c r="G19" i="3"/>
  <c r="G27" i="3"/>
  <c r="G13" i="3"/>
  <c r="G31" i="3"/>
  <c r="G12" i="3"/>
  <c r="G20" i="3"/>
  <c r="G22" i="3"/>
  <c r="G14" i="3"/>
  <c r="G21" i="3"/>
  <c r="G11" i="3"/>
  <c r="G28" i="3"/>
  <c r="G34" i="3"/>
  <c r="H39" i="2"/>
  <c r="G13" i="2"/>
  <c r="G21" i="2"/>
  <c r="G31" i="2"/>
  <c r="G15" i="2"/>
  <c r="G33" i="2"/>
  <c r="G16" i="2"/>
  <c r="G9" i="2"/>
  <c r="G17" i="2"/>
  <c r="G25" i="2"/>
  <c r="G36" i="2"/>
  <c r="G11" i="2"/>
  <c r="G19" i="2"/>
  <c r="G20" i="2"/>
  <c r="G14" i="2"/>
  <c r="G22" i="2"/>
  <c r="G32" i="2"/>
  <c r="G8" i="2"/>
  <c r="G10" i="2"/>
  <c r="G18" i="2"/>
  <c r="G26" i="2"/>
  <c r="G7" i="2"/>
  <c r="G27" i="2"/>
  <c r="G12" i="2"/>
  <c r="G28" i="2"/>
  <c r="G23" i="2"/>
  <c r="G24" i="2"/>
  <c r="I8" i="2"/>
  <c r="I16" i="2"/>
  <c r="I24" i="2"/>
  <c r="I26" i="2"/>
  <c r="I19" i="2"/>
  <c r="I12" i="2"/>
  <c r="I20" i="2"/>
  <c r="I28" i="2"/>
  <c r="I14" i="2"/>
  <c r="I22" i="2"/>
  <c r="I15" i="2"/>
  <c r="I33" i="2"/>
  <c r="I9" i="2"/>
  <c r="I17" i="2"/>
  <c r="I25" i="2"/>
  <c r="I36" i="2"/>
  <c r="I10" i="2"/>
  <c r="I7" i="2"/>
  <c r="I11" i="2"/>
  <c r="I13" i="2"/>
  <c r="I21" i="2"/>
  <c r="I31" i="2"/>
  <c r="I32" i="2"/>
  <c r="I23" i="2"/>
  <c r="I18" i="2"/>
  <c r="I27" i="2"/>
  <c r="I34" i="2"/>
  <c r="G34" i="2"/>
  <c r="B28" i="1" l="1"/>
  <c r="D28" i="1"/>
  <c r="D38" i="1" s="1"/>
  <c r="E28" i="1"/>
  <c r="E38" i="1" s="1"/>
  <c r="F28" i="1"/>
  <c r="F38" i="1" s="1"/>
  <c r="G28" i="1"/>
  <c r="G38" i="1" s="1"/>
  <c r="H28" i="1"/>
  <c r="H38" i="1" s="1"/>
  <c r="J28" i="1"/>
  <c r="K28" i="1"/>
  <c r="L28" i="1"/>
  <c r="M28" i="1"/>
  <c r="N28" i="1"/>
  <c r="N38" i="1" s="1"/>
  <c r="O28" i="1"/>
  <c r="O38" i="1" s="1"/>
  <c r="B34" i="1"/>
  <c r="D34" i="1"/>
  <c r="E34" i="1"/>
  <c r="F34" i="1"/>
  <c r="G34" i="1"/>
  <c r="H34" i="1"/>
  <c r="J34" i="1"/>
  <c r="K34" i="1"/>
  <c r="L34" i="1"/>
  <c r="M34" i="1"/>
  <c r="N34" i="1"/>
  <c r="O34" i="1"/>
  <c r="B38" i="1"/>
  <c r="K36" i="1" l="1"/>
  <c r="J36" i="1"/>
  <c r="J38" i="1"/>
  <c r="H36" i="1"/>
  <c r="M36" i="1"/>
  <c r="M38" i="1"/>
  <c r="O36" i="1"/>
  <c r="G36" i="1"/>
  <c r="D36" i="1"/>
  <c r="K38" i="1"/>
  <c r="N36" i="1"/>
  <c r="L36" i="1"/>
  <c r="B36" i="1"/>
  <c r="L38" i="1"/>
  <c r="F36" i="1"/>
  <c r="E36" i="1"/>
  <c r="Q34" i="1"/>
  <c r="P34" i="1"/>
  <c r="C36" i="1" l="1"/>
  <c r="C14" i="1"/>
  <c r="C22" i="1"/>
  <c r="C32" i="1"/>
  <c r="C8" i="1"/>
  <c r="C24" i="1"/>
  <c r="C18" i="1"/>
  <c r="C27" i="1"/>
  <c r="C20" i="1"/>
  <c r="C13" i="1"/>
  <c r="C21" i="1"/>
  <c r="C15" i="1"/>
  <c r="C23" i="1"/>
  <c r="C33" i="1"/>
  <c r="C16" i="1"/>
  <c r="C7" i="1"/>
  <c r="C19" i="1"/>
  <c r="C28" i="1"/>
  <c r="C9" i="1"/>
  <c r="C17" i="1"/>
  <c r="C25" i="1"/>
  <c r="C10" i="1"/>
  <c r="C26" i="1"/>
  <c r="C11" i="1"/>
  <c r="C12" i="1"/>
  <c r="C31" i="1"/>
  <c r="C34" i="1"/>
  <c r="P28" i="1"/>
  <c r="Q28" i="1"/>
  <c r="Q38" i="1" l="1"/>
  <c r="Q36" i="1"/>
  <c r="P38" i="1"/>
  <c r="P36" i="1"/>
  <c r="F9" i="5" l="1"/>
  <c r="F10" i="5"/>
  <c r="F11" i="5"/>
  <c r="F12" i="5"/>
  <c r="F13" i="5"/>
  <c r="F14" i="5"/>
  <c r="F15" i="5"/>
  <c r="F16" i="5"/>
  <c r="F17" i="5"/>
  <c r="F18" i="5"/>
  <c r="F19" i="5"/>
  <c r="F20" i="5"/>
  <c r="F21" i="5"/>
  <c r="F22" i="5"/>
  <c r="F23" i="5"/>
  <c r="F24" i="5"/>
  <c r="F25" i="5"/>
  <c r="F26" i="5"/>
  <c r="F27" i="5"/>
  <c r="F28" i="5"/>
  <c r="F8" i="5"/>
  <c r="B35" i="5" l="1"/>
  <c r="B29" i="5"/>
  <c r="D27" i="5" l="1"/>
  <c r="D16" i="5"/>
  <c r="D24" i="5"/>
  <c r="F29" i="5"/>
  <c r="D9" i="5"/>
  <c r="D13" i="5"/>
  <c r="D17" i="5"/>
  <c r="D21" i="5"/>
  <c r="D25" i="5"/>
  <c r="D29" i="5"/>
  <c r="D11" i="5"/>
  <c r="D19" i="5"/>
  <c r="D20" i="5"/>
  <c r="D8" i="5"/>
  <c r="D10" i="5"/>
  <c r="D14" i="5"/>
  <c r="D18" i="5"/>
  <c r="D22" i="5"/>
  <c r="D26" i="5"/>
  <c r="D15" i="5"/>
  <c r="D23" i="5"/>
  <c r="D12" i="5"/>
  <c r="D28" i="5"/>
  <c r="B37" i="5"/>
  <c r="F39" i="5" s="1"/>
  <c r="C15" i="5" l="1"/>
  <c r="C12" i="5"/>
  <c r="C24" i="5"/>
  <c r="C9" i="5"/>
  <c r="C13" i="5"/>
  <c r="C17" i="5"/>
  <c r="C21" i="5"/>
  <c r="C25" i="5"/>
  <c r="C20" i="5"/>
  <c r="C37" i="5"/>
  <c r="C10" i="5"/>
  <c r="C14" i="5"/>
  <c r="C18" i="5"/>
  <c r="C22" i="5"/>
  <c r="C26" i="5"/>
  <c r="C32" i="5"/>
  <c r="C8" i="5"/>
  <c r="C33" i="5"/>
  <c r="C11" i="5"/>
  <c r="C19" i="5"/>
  <c r="C23" i="5"/>
  <c r="C27" i="5"/>
  <c r="C34" i="5"/>
  <c r="C16" i="5"/>
  <c r="C28" i="5"/>
  <c r="C35" i="5"/>
  <c r="C29" i="5"/>
  <c r="D109" i="7" l="1"/>
  <c r="B109" i="7"/>
  <c r="I106" i="7"/>
  <c r="H106" i="7"/>
  <c r="F106" i="7"/>
  <c r="E106" i="7"/>
  <c r="I105" i="7"/>
  <c r="H105" i="7" s="1"/>
  <c r="F105" i="7"/>
  <c r="E105" i="7"/>
  <c r="I104" i="7"/>
  <c r="H104" i="7" s="1"/>
  <c r="F104" i="7"/>
  <c r="E104" i="7"/>
  <c r="I103" i="7"/>
  <c r="H103" i="7" s="1"/>
  <c r="F103" i="7"/>
  <c r="E103" i="7"/>
  <c r="I102" i="7"/>
  <c r="H102" i="7" s="1"/>
  <c r="F102" i="7"/>
  <c r="E102" i="7"/>
  <c r="I101" i="7"/>
  <c r="H101" i="7" s="1"/>
  <c r="F101" i="7"/>
  <c r="E101" i="7"/>
  <c r="I100" i="7"/>
  <c r="H100" i="7" s="1"/>
  <c r="F100" i="7"/>
  <c r="E100" i="7"/>
  <c r="I99" i="7"/>
  <c r="H99" i="7" s="1"/>
  <c r="F99" i="7"/>
  <c r="E99" i="7"/>
  <c r="I98" i="7"/>
  <c r="H98" i="7" s="1"/>
  <c r="F98" i="7"/>
  <c r="E98" i="7"/>
  <c r="I97" i="7"/>
  <c r="H97" i="7" s="1"/>
  <c r="F97" i="7"/>
  <c r="E97" i="7"/>
  <c r="I96" i="7"/>
  <c r="H96" i="7" s="1"/>
  <c r="F96" i="7"/>
  <c r="E96" i="7"/>
  <c r="I95" i="7"/>
  <c r="H95" i="7" s="1"/>
  <c r="F95" i="7"/>
  <c r="E95" i="7"/>
  <c r="I94" i="7"/>
  <c r="H94" i="7" s="1"/>
  <c r="F94" i="7"/>
  <c r="E94" i="7"/>
  <c r="I93" i="7"/>
  <c r="H93" i="7" s="1"/>
  <c r="F93" i="7"/>
  <c r="E93" i="7"/>
  <c r="I92" i="7"/>
  <c r="H92" i="7" s="1"/>
  <c r="F92" i="7"/>
  <c r="E92" i="7"/>
  <c r="I91" i="7"/>
  <c r="H91" i="7" s="1"/>
  <c r="F91" i="7"/>
  <c r="E91" i="7"/>
  <c r="I90" i="7"/>
  <c r="H90" i="7" s="1"/>
  <c r="F90" i="7"/>
  <c r="E90" i="7"/>
  <c r="I89" i="7"/>
  <c r="H89" i="7" s="1"/>
  <c r="F89" i="7"/>
  <c r="E89" i="7"/>
  <c r="I88" i="7"/>
  <c r="H88" i="7" s="1"/>
  <c r="F88" i="7"/>
  <c r="E88" i="7"/>
  <c r="I87" i="7"/>
  <c r="H87" i="7" s="1"/>
  <c r="F87" i="7"/>
  <c r="E87" i="7"/>
  <c r="I86" i="7"/>
  <c r="H86" i="7" s="1"/>
  <c r="F86" i="7"/>
  <c r="E86" i="7"/>
  <c r="I85" i="7"/>
  <c r="H85" i="7" s="1"/>
  <c r="F85" i="7"/>
  <c r="E85" i="7"/>
  <c r="I84" i="7"/>
  <c r="H84" i="7" s="1"/>
  <c r="F84" i="7"/>
  <c r="E84" i="7"/>
  <c r="I83" i="7"/>
  <c r="H83" i="7" s="1"/>
  <c r="F83" i="7"/>
  <c r="E83" i="7"/>
  <c r="I82" i="7"/>
  <c r="H82" i="7" s="1"/>
  <c r="F82" i="7"/>
  <c r="E82" i="7"/>
  <c r="I81" i="7"/>
  <c r="H81" i="7" s="1"/>
  <c r="F81" i="7"/>
  <c r="E81" i="7"/>
  <c r="I80" i="7"/>
  <c r="H80" i="7" s="1"/>
  <c r="F80" i="7"/>
  <c r="E80" i="7"/>
  <c r="I79" i="7"/>
  <c r="H79" i="7" s="1"/>
  <c r="F79" i="7"/>
  <c r="E79" i="7"/>
  <c r="I78" i="7"/>
  <c r="H78" i="7" s="1"/>
  <c r="F78" i="7"/>
  <c r="E78" i="7"/>
  <c r="I77" i="7"/>
  <c r="H77" i="7" s="1"/>
  <c r="F77" i="7"/>
  <c r="E77" i="7"/>
  <c r="I76" i="7"/>
  <c r="H76" i="7" s="1"/>
  <c r="F76" i="7"/>
  <c r="E76" i="7"/>
  <c r="I75" i="7"/>
  <c r="H75" i="7" s="1"/>
  <c r="F75" i="7"/>
  <c r="E75" i="7"/>
  <c r="I74" i="7"/>
  <c r="H74" i="7" s="1"/>
  <c r="F74" i="7"/>
  <c r="E74" i="7"/>
  <c r="I73" i="7"/>
  <c r="H73" i="7" s="1"/>
  <c r="F73" i="7"/>
  <c r="E73" i="7"/>
  <c r="I72" i="7"/>
  <c r="H72" i="7" s="1"/>
  <c r="F72" i="7"/>
  <c r="E72" i="7"/>
  <c r="I71" i="7"/>
  <c r="H71" i="7" s="1"/>
  <c r="F71" i="7"/>
  <c r="E71" i="7"/>
  <c r="I70" i="7"/>
  <c r="H70" i="7" s="1"/>
  <c r="F70" i="7"/>
  <c r="E70" i="7"/>
  <c r="I69" i="7"/>
  <c r="H69" i="7" s="1"/>
  <c r="F69" i="7"/>
  <c r="E69" i="7"/>
  <c r="I68" i="7"/>
  <c r="H68" i="7" s="1"/>
  <c r="F68" i="7"/>
  <c r="E68" i="7"/>
  <c r="I67" i="7"/>
  <c r="H67" i="7" s="1"/>
  <c r="F67" i="7"/>
  <c r="E67" i="7"/>
  <c r="I66" i="7"/>
  <c r="H66" i="7" s="1"/>
  <c r="F66" i="7"/>
  <c r="E66" i="7"/>
  <c r="I65" i="7"/>
  <c r="H65" i="7" s="1"/>
  <c r="F65" i="7"/>
  <c r="E65" i="7"/>
  <c r="I64" i="7"/>
  <c r="H64" i="7" s="1"/>
  <c r="F64" i="7"/>
  <c r="E64" i="7"/>
  <c r="I63" i="7"/>
  <c r="H63" i="7" s="1"/>
  <c r="F63" i="7"/>
  <c r="E63" i="7"/>
  <c r="I62" i="7"/>
  <c r="H62" i="7" s="1"/>
  <c r="F62" i="7"/>
  <c r="E62" i="7"/>
  <c r="I61" i="7"/>
  <c r="H61" i="7" s="1"/>
  <c r="F61" i="7"/>
  <c r="E61" i="7"/>
  <c r="I60" i="7"/>
  <c r="H60" i="7" s="1"/>
  <c r="F60" i="7"/>
  <c r="E60" i="7"/>
  <c r="I59" i="7"/>
  <c r="H59" i="7" s="1"/>
  <c r="F59" i="7"/>
  <c r="E59" i="7"/>
  <c r="I58" i="7"/>
  <c r="H58" i="7" s="1"/>
  <c r="F58" i="7"/>
  <c r="E58" i="7"/>
  <c r="I57" i="7"/>
  <c r="H57" i="7" s="1"/>
  <c r="F57" i="7"/>
  <c r="E57" i="7"/>
  <c r="I56" i="7"/>
  <c r="H56" i="7" s="1"/>
  <c r="F56" i="7"/>
  <c r="E56" i="7"/>
  <c r="I55" i="7"/>
  <c r="H55" i="7" s="1"/>
  <c r="F55" i="7"/>
  <c r="E55" i="7"/>
  <c r="I54" i="7"/>
  <c r="H54" i="7" s="1"/>
  <c r="F54" i="7"/>
  <c r="E54" i="7"/>
  <c r="I53" i="7"/>
  <c r="H53" i="7" s="1"/>
  <c r="F53" i="7"/>
  <c r="E53" i="7"/>
  <c r="I52" i="7"/>
  <c r="H52" i="7" s="1"/>
  <c r="F52" i="7"/>
  <c r="E52" i="7"/>
  <c r="I51" i="7"/>
  <c r="H51" i="7" s="1"/>
  <c r="F51" i="7"/>
  <c r="E51" i="7"/>
  <c r="I50" i="7"/>
  <c r="H50" i="7" s="1"/>
  <c r="F50" i="7"/>
  <c r="E50" i="7"/>
  <c r="I49" i="7"/>
  <c r="H49" i="7" s="1"/>
  <c r="F49" i="7"/>
  <c r="E49" i="7"/>
  <c r="I48" i="7"/>
  <c r="H48" i="7" s="1"/>
  <c r="F48" i="7"/>
  <c r="E48" i="7"/>
  <c r="I47" i="7"/>
  <c r="H47" i="7" s="1"/>
  <c r="F47" i="7"/>
  <c r="E47" i="7"/>
  <c r="I46" i="7"/>
  <c r="H46" i="7" s="1"/>
  <c r="F46" i="7"/>
  <c r="E46" i="7"/>
  <c r="I45" i="7"/>
  <c r="H45" i="7" s="1"/>
  <c r="F45" i="7"/>
  <c r="E45" i="7"/>
  <c r="I44" i="7"/>
  <c r="H44" i="7" s="1"/>
  <c r="F44" i="7"/>
  <c r="E44" i="7"/>
  <c r="I43" i="7"/>
  <c r="H43" i="7" s="1"/>
  <c r="F43" i="7"/>
  <c r="E43" i="7"/>
  <c r="I42" i="7"/>
  <c r="H42" i="7" s="1"/>
  <c r="F42" i="7"/>
  <c r="E42" i="7"/>
  <c r="I41" i="7"/>
  <c r="H41" i="7" s="1"/>
  <c r="F41" i="7"/>
  <c r="E41" i="7"/>
  <c r="I40" i="7"/>
  <c r="H40" i="7" s="1"/>
  <c r="F40" i="7"/>
  <c r="E40" i="7"/>
  <c r="I39" i="7"/>
  <c r="H39" i="7" s="1"/>
  <c r="F39" i="7"/>
  <c r="E39" i="7"/>
  <c r="I38" i="7"/>
  <c r="H38" i="7" s="1"/>
  <c r="F38" i="7"/>
  <c r="E38" i="7"/>
  <c r="I37" i="7"/>
  <c r="H37" i="7" s="1"/>
  <c r="F37" i="7"/>
  <c r="E37" i="7"/>
  <c r="I36" i="7"/>
  <c r="H36" i="7" s="1"/>
  <c r="F36" i="7"/>
  <c r="E36" i="7"/>
  <c r="I35" i="7"/>
  <c r="H35" i="7" s="1"/>
  <c r="F35" i="7"/>
  <c r="E35" i="7"/>
  <c r="I34" i="7"/>
  <c r="H34" i="7" s="1"/>
  <c r="F34" i="7"/>
  <c r="E34" i="7"/>
  <c r="I33" i="7"/>
  <c r="H33" i="7" s="1"/>
  <c r="F33" i="7"/>
  <c r="E33" i="7"/>
  <c r="I32" i="7"/>
  <c r="H32" i="7" s="1"/>
  <c r="F32" i="7"/>
  <c r="E32" i="7"/>
  <c r="I31" i="7"/>
  <c r="H31" i="7" s="1"/>
  <c r="F31" i="7"/>
  <c r="E31" i="7"/>
  <c r="I30" i="7"/>
  <c r="H30" i="7" s="1"/>
  <c r="F30" i="7"/>
  <c r="E30" i="7"/>
  <c r="I29" i="7"/>
  <c r="H29" i="7" s="1"/>
  <c r="F29" i="7"/>
  <c r="E29" i="7"/>
  <c r="I28" i="7"/>
  <c r="H28" i="7" s="1"/>
  <c r="F28" i="7"/>
  <c r="E28" i="7"/>
  <c r="I27" i="7"/>
  <c r="H27" i="7" s="1"/>
  <c r="F27" i="7"/>
  <c r="E27" i="7"/>
  <c r="I26" i="7"/>
  <c r="H26" i="7" s="1"/>
  <c r="F26" i="7"/>
  <c r="E26" i="7"/>
  <c r="I25" i="7"/>
  <c r="H25" i="7" s="1"/>
  <c r="F25" i="7"/>
  <c r="E25" i="7"/>
  <c r="I24" i="7"/>
  <c r="H24" i="7" s="1"/>
  <c r="F24" i="7"/>
  <c r="E24" i="7"/>
  <c r="I23" i="7"/>
  <c r="H23" i="7" s="1"/>
  <c r="F23" i="7"/>
  <c r="E23" i="7"/>
  <c r="I22" i="7"/>
  <c r="H22" i="7" s="1"/>
  <c r="F22" i="7"/>
  <c r="E22" i="7"/>
  <c r="I21" i="7"/>
  <c r="H21" i="7" s="1"/>
  <c r="F21" i="7"/>
  <c r="E21" i="7"/>
  <c r="I20" i="7"/>
  <c r="H20" i="7" s="1"/>
  <c r="F20" i="7"/>
  <c r="E20" i="7"/>
  <c r="I19" i="7"/>
  <c r="H19" i="7" s="1"/>
  <c r="F19" i="7"/>
  <c r="E19" i="7"/>
  <c r="I18" i="7"/>
  <c r="H18" i="7" s="1"/>
  <c r="F18" i="7"/>
  <c r="E18" i="7"/>
  <c r="I17" i="7"/>
  <c r="H17" i="7" s="1"/>
  <c r="F17" i="7"/>
  <c r="E17" i="7"/>
  <c r="I16" i="7"/>
  <c r="H16" i="7" s="1"/>
  <c r="F16" i="7"/>
  <c r="E16" i="7"/>
  <c r="I15" i="7"/>
  <c r="H15" i="7" s="1"/>
  <c r="F15" i="7"/>
  <c r="E15" i="7"/>
  <c r="I14" i="7"/>
  <c r="H14" i="7" s="1"/>
  <c r="F14" i="7"/>
  <c r="E14" i="7"/>
  <c r="I13" i="7"/>
  <c r="H13" i="7" s="1"/>
  <c r="F13" i="7"/>
  <c r="E13" i="7"/>
  <c r="I12" i="7"/>
  <c r="H12" i="7" s="1"/>
  <c r="F12" i="7"/>
  <c r="E12" i="7"/>
  <c r="I11" i="7"/>
  <c r="H11" i="7" s="1"/>
  <c r="F11" i="7"/>
  <c r="E11" i="7"/>
  <c r="I10" i="7"/>
  <c r="H10" i="7" s="1"/>
  <c r="F10" i="7"/>
  <c r="E10" i="7"/>
  <c r="I9" i="7"/>
  <c r="H9" i="7" s="1"/>
  <c r="F9" i="7"/>
  <c r="E9" i="7"/>
  <c r="I8" i="7"/>
  <c r="H8" i="7"/>
  <c r="F8" i="7"/>
  <c r="E8" i="7"/>
  <c r="I7" i="7"/>
  <c r="H7" i="7" s="1"/>
  <c r="F7" i="7"/>
  <c r="E7" i="7"/>
  <c r="F23" i="6" l="1"/>
  <c r="H23" i="6" s="1"/>
  <c r="D21" i="6"/>
  <c r="B21" i="6"/>
  <c r="F20" i="6"/>
  <c r="H20" i="6" s="1"/>
  <c r="F19" i="6"/>
  <c r="H19" i="6" s="1"/>
  <c r="F18" i="6"/>
  <c r="H18" i="6" s="1"/>
  <c r="F17" i="6"/>
  <c r="H17" i="6" s="1"/>
  <c r="F16" i="6"/>
  <c r="H16" i="6" s="1"/>
  <c r="F15" i="6"/>
  <c r="H15" i="6" s="1"/>
  <c r="D13" i="6"/>
  <c r="B13" i="6"/>
  <c r="F12" i="6"/>
  <c r="H12" i="6" s="1"/>
  <c r="F11" i="6"/>
  <c r="H11" i="6" s="1"/>
  <c r="D9" i="6"/>
  <c r="B9" i="6"/>
  <c r="F9" i="6" s="1"/>
  <c r="H9" i="6" s="1"/>
  <c r="F8" i="6"/>
  <c r="H8" i="6" s="1"/>
  <c r="F7" i="6"/>
  <c r="H7" i="6" s="1"/>
  <c r="F13" i="6" l="1"/>
  <c r="H13" i="6" s="1"/>
  <c r="F21" i="6"/>
  <c r="H21" i="6" s="1"/>
  <c r="B25" i="6"/>
  <c r="C13" i="6" s="1"/>
  <c r="D25" i="6"/>
  <c r="E23" i="6" l="1"/>
  <c r="E12" i="6"/>
  <c r="E19" i="6"/>
  <c r="E17" i="6"/>
  <c r="E8" i="6"/>
  <c r="E20" i="6"/>
  <c r="E18" i="6"/>
  <c r="E16" i="6"/>
  <c r="E7" i="6"/>
  <c r="E11" i="6"/>
  <c r="E15" i="6"/>
  <c r="E9" i="6"/>
  <c r="F25" i="6"/>
  <c r="H25" i="6" s="1"/>
  <c r="C23" i="6"/>
  <c r="C12" i="6"/>
  <c r="C11" i="6"/>
  <c r="C8" i="6"/>
  <c r="C20" i="6"/>
  <c r="C18" i="6"/>
  <c r="C16" i="6"/>
  <c r="C7" i="6"/>
  <c r="C19" i="6"/>
  <c r="C17" i="6"/>
  <c r="C15" i="6"/>
  <c r="C21" i="6"/>
  <c r="E21" i="6"/>
  <c r="E13" i="6"/>
  <c r="C9" i="6"/>
  <c r="E25" i="6" l="1"/>
  <c r="C25" i="6"/>
  <c r="D16" i="11"/>
  <c r="D14" i="11"/>
  <c r="D15" i="11"/>
  <c r="D13" i="11"/>
  <c r="D17" i="11" l="1"/>
</calcChain>
</file>

<file path=xl/sharedStrings.xml><?xml version="1.0" encoding="utf-8"?>
<sst xmlns="http://schemas.openxmlformats.org/spreadsheetml/2006/main" count="726" uniqueCount="395">
  <si>
    <t>x*HMO Premiums</t>
  </si>
  <si>
    <t>Total Services</t>
  </si>
  <si>
    <t>Table 10</t>
  </si>
  <si>
    <t>North Carolina Medicaid</t>
  </si>
  <si>
    <t>Medicaid Service Expenditures for Selected Major Medical Services by Program Category</t>
  </si>
  <si>
    <t>Type of Service</t>
  </si>
  <si>
    <t>Total Service Dollars</t>
  </si>
  <si>
    <t>Percent of Service Dollars</t>
  </si>
  <si>
    <t>Aged</t>
  </si>
  <si>
    <t>MQBQ 
Medicare Qualified Beneficiary ****</t>
  </si>
  <si>
    <t>MQBB+MQBE
Part B Premium Only</t>
  </si>
  <si>
    <t>Blind</t>
  </si>
  <si>
    <t>Disabled</t>
  </si>
  <si>
    <t>Other Adult**</t>
  </si>
  <si>
    <t xml:space="preserve"> Children***</t>
  </si>
  <si>
    <t>MSCHIP</t>
  </si>
  <si>
    <t>Breast 
&amp; Cervical 
Cancer</t>
  </si>
  <si>
    <t>Family Planning</t>
  </si>
  <si>
    <t>Medsolution Encounters</t>
  </si>
  <si>
    <t>Alien 
&amp; Refugees</t>
  </si>
  <si>
    <t>Adjustments and Others</t>
  </si>
  <si>
    <t>Infants and Children</t>
  </si>
  <si>
    <t>State Fiscal Year 2017</t>
  </si>
  <si>
    <t>Table 9</t>
  </si>
  <si>
    <t>Medicaid Service Expenditures by Recipient Group</t>
  </si>
  <si>
    <t>Eligibility Group</t>
  </si>
  <si>
    <t>Total Recipients</t>
  </si>
  <si>
    <t>Percent of Recipients</t>
  </si>
  <si>
    <t>SFY 2017 Expenditures Per Recipient</t>
  </si>
  <si>
    <t>SFY 2016 Expenditures Per Recipient</t>
  </si>
  <si>
    <t>2016/2017 % Change</t>
  </si>
  <si>
    <t>Medicare-Aid (MQBQ &amp; MQBB &amp; MQBE)</t>
  </si>
  <si>
    <t>Total Elderly</t>
  </si>
  <si>
    <t>Total Disabled</t>
  </si>
  <si>
    <t>TANF (AFDC) Adults (&gt; 21)</t>
  </si>
  <si>
    <t>Medicaid Pregnant Women (MPW)</t>
  </si>
  <si>
    <t>TANF (AFDC) Children &amp; Other Children</t>
  </si>
  <si>
    <t>Medicaid Infants&amp;Children (MIC)</t>
  </si>
  <si>
    <t>Breast and Cervical</t>
  </si>
  <si>
    <t>M-SCHIP</t>
  </si>
  <si>
    <t>Total Families &amp;Children</t>
  </si>
  <si>
    <t>Aliens and Refugees</t>
  </si>
  <si>
    <t>Total Service Expenditures for the above groups</t>
  </si>
  <si>
    <t>Unduplicated total number of recipients for the above group</t>
  </si>
  <si>
    <t xml:space="preserve">Note1: Unduplicated number of recipients was obtained to reflect that the Medicaid recipient might have appeared more than once among eligibility groups listed above. </t>
  </si>
  <si>
    <t xml:space="preserve">Note2: Medicare Part A&amp;B were excluded from this table. Also,family planning, Adjustments, and Medsolution were excluded from this table.  </t>
  </si>
  <si>
    <t>Note3: HealthChoice is not included.</t>
  </si>
  <si>
    <t>Source: Truven data warehouse.</t>
  </si>
  <si>
    <t>Table 7</t>
  </si>
  <si>
    <t xml:space="preserve">North Carolina Medicaid </t>
  </si>
  <si>
    <t xml:space="preserve">Medicaid Eligibles and Program Payments for which the County is Responsible for Its Computable Share </t>
  </si>
  <si>
    <t>COUNTY</t>
  </si>
  <si>
    <t>2016 Est. County Population</t>
  </si>
  <si>
    <t>Number of Medicaid Eligibles</t>
  </si>
  <si>
    <t>Total Expenditures</t>
  </si>
  <si>
    <t>Expenditure per Eligible</t>
  </si>
  <si>
    <t>Per Capita Expenditure</t>
  </si>
  <si>
    <t>Ranking</t>
  </si>
  <si>
    <t>Eligibles per 1,000 Population</t>
  </si>
  <si>
    <t>% of Medicaid Eligibles based on 2016 Population</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</si>
  <si>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</si>
  <si>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</si>
  <si>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</si>
  <si>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</si>
  <si>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</si>
  <si>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</si>
  <si>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</si>
  <si>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</si>
  <si>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</si>
  <si>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</si>
  <si>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</si>
  <si>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</si>
  <si>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</si>
  <si>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</si>
  <si>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</si>
  <si>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</si>
  <si>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</si>
  <si>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</si>
  <si>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</si>
  <si>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</si>
  <si>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</si>
  <si>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</si>
  <si>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</si>
  <si>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</si>
  <si>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</si>
  <si>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</si>
  <si>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</si>
  <si>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</si>
  <si>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</si>
  <si>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</si>
  <si>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</si>
  <si>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</si>
  <si>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</si>
  <si>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</si>
  <si>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</si>
  <si>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</si>
  <si>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</si>
  <si>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</si>
  <si>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</si>
  <si>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</si>
  <si>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</si>
  <si>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</si>
  <si>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</si>
  <si>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</si>
  <si>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</si>
  <si>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</si>
  <si>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</si>
  <si>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</si>
  <si>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</si>
  <si>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</si>
  <si>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</si>
  <si>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</si>
  <si>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</si>
  <si>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</si>
  <si>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</si>
  <si>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</si>
  <si>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</si>
  <si>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</si>
  <si>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</si>
  <si>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</si>
  <si>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</si>
  <si>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</si>
  <si>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</si>
  <si>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</si>
  <si>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</si>
  <si>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</si>
  <si>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</si>
  <si>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</si>
  <si>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</si>
  <si>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</si>
  <si>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</si>
  <si>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</si>
  <si>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</si>
  <si>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</si>
  <si>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</si>
  <si>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</si>
  <si>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</si>
  <si>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</si>
  <si>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</si>
  <si>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</si>
  <si>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</si>
  <si>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</si>
  <si>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</si>
  <si>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</si>
  <si>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</si>
  <si>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</si>
  <si>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</si>
  <si>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</si>
  <si>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</si>
  <si>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</si>
  <si>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</si>
  <si>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</si>
  <si>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</si>
  <si>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</si>
  <si>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</si>
  <si>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</si>
  <si>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</si>
  <si>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</si>
  <si>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</si>
  <si>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</si>
  <si>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 xml:space="preserve">                         Source: </t>
  </si>
  <si>
    <t>1.Truven Data warehouse (Encounter and Medsolution claims were excluded).</t>
  </si>
  <si>
    <t>3.County population is obtained from NC Budget and Management (NC OSBM).</t>
  </si>
  <si>
    <t>4. Eligibles are counted in only one county during each year (the last county of record) regardless of whether they may have moved between counties.</t>
  </si>
  <si>
    <t>Unknown</t>
  </si>
  <si>
    <t>Premiums:</t>
  </si>
  <si>
    <t>Medicare, Part A Premiums</t>
  </si>
  <si>
    <t>Medicare, Part B Premiums</t>
  </si>
  <si>
    <t>Total Premiums</t>
  </si>
  <si>
    <t>Grand Total Services and Premiums</t>
  </si>
  <si>
    <t>Percentage of Paid Claims and Premiums</t>
  </si>
  <si>
    <t>Percentage of Paid Claims only</t>
  </si>
  <si>
    <t>2016 
Number of Recipients</t>
  </si>
  <si>
    <t>2016 Expenditures per Recipient</t>
  </si>
  <si>
    <t>2017 
Number of Recipients</t>
  </si>
  <si>
    <t>2017 Expenditures per Recipient</t>
  </si>
  <si>
    <t>Table 8</t>
  </si>
  <si>
    <t>Medicaid Expenditures by Type of Service</t>
  </si>
  <si>
    <t>Expenditures per Recipient</t>
  </si>
  <si>
    <t xml:space="preserve">MedSolution Claims Excluded </t>
  </si>
  <si>
    <t>*          By April 2013 all Counties were under the Behavioral Health HMO (The LMEs) – The 1915(b) Waiver for all Behavioral Health Services – Psych Hospitals, ICF/MR,  Mental Health Provides like Psychiatrist, sychologist, Licensed Mental Health Nurses, Substance Abuse Counselors.</t>
  </si>
  <si>
    <t xml:space="preserve">  In addition ALL CAP/MR Services were also as of April 2013 provided under 1915(c) – Innovations with service delivery through the LME under the authority of the 1915(b).  </t>
  </si>
  <si>
    <t xml:space="preserve"> **       Includes individuals covered under SOBRA Pregnant Women policies or individuals age 21 &amp; over under TANF or AFDC-related coverage or family planning waiver.</t>
  </si>
  <si>
    <t>***      Includes SOBRA Children, individuals under age 21 in TANF or AFDC-related coverages or other children in foster care.</t>
  </si>
  <si>
    <t>****    Reflects expenditures for those who were eligible as QMBs (Medicare-covered services only) at the end of the year.  As a result, expenditures include more services than are available through QMB coverage.</t>
  </si>
  <si>
    <t>Note: Program Category Totals do not include adjustments processed by DMA, settlements, disproportionate share costs and State and county administration costs and certified public funds in other agencies.  Also, financial data reported in the PER originates from and relates to "claims paid" within MMIS.</t>
  </si>
  <si>
    <t xml:space="preserve">          HealthChoice is not included.</t>
  </si>
  <si>
    <r>
      <rPr>
        <b/>
        <sz val="10"/>
        <color theme="1"/>
        <rFont val="Calibri"/>
        <family val="2"/>
        <scheme val="minor"/>
      </rPr>
      <t xml:space="preserve">Source: </t>
    </r>
    <r>
      <rPr>
        <sz val="10"/>
        <color theme="1"/>
        <rFont val="Calibri"/>
        <family val="2"/>
        <scheme val="minor"/>
      </rPr>
      <t xml:space="preserve"> SFY2017 Truven data warehouse (SAV_Claim header, SAV_Claim line, and Buyin Span tables)</t>
    </r>
  </si>
  <si>
    <t>Grand Total Services without PartA and B *****</t>
  </si>
  <si>
    <t>Table 11</t>
  </si>
  <si>
    <t>Medicaid Service Expenditures for the Elderly</t>
  </si>
  <si>
    <t>MQBQ 
Medicare Qualified Beneficiary</t>
  </si>
  <si>
    <t>Total Qualified Beneficieries</t>
  </si>
  <si>
    <t>Total Elderly Dollars</t>
  </si>
  <si>
    <t>SFY 2016 
% of Total Dollars</t>
  </si>
  <si>
    <t>SFY 2015 
% of Total Dollars</t>
  </si>
  <si>
    <t>SFY 2017 
% of Total Dollars</t>
  </si>
  <si>
    <t>HMO Premiums</t>
  </si>
  <si>
    <t>Psychiatric Hospital (&lt; 21)</t>
  </si>
  <si>
    <t>Intermediate Care Facility (Mentally Retarded)</t>
  </si>
  <si>
    <t>High Risk Intervention Residential</t>
  </si>
  <si>
    <t>Inpatient Hospital</t>
  </si>
  <si>
    <t>Outpatient Hospital</t>
  </si>
  <si>
    <t>Mental Hospital (&gt; 65)</t>
  </si>
  <si>
    <t>Physician</t>
  </si>
  <si>
    <t>Clinics</t>
  </si>
  <si>
    <t>Nursing Facility</t>
  </si>
  <si>
    <t>Dental</t>
  </si>
  <si>
    <t>Prescribed Drugs</t>
  </si>
  <si>
    <t>Home Health</t>
  </si>
  <si>
    <t>CAP/Disabled Adult</t>
  </si>
  <si>
    <t>CAP/Mentally Retarded</t>
  </si>
  <si>
    <t>CAP/Children</t>
  </si>
  <si>
    <t>Personal Care</t>
  </si>
  <si>
    <t>Hospice</t>
  </si>
  <si>
    <t>EPSDT (Health Check)</t>
  </si>
  <si>
    <t>Lab &amp; X-ray</t>
  </si>
  <si>
    <t>Practitioner-Non Physician</t>
  </si>
  <si>
    <t>Other Services</t>
  </si>
  <si>
    <t>Total Elderly Recipients</t>
  </si>
  <si>
    <t>Expenditures Per Recipient**</t>
  </si>
  <si>
    <r>
      <rPr>
        <b/>
        <sz val="8"/>
        <rFont val="Trebuchet MS"/>
        <family val="2"/>
      </rPr>
      <t>Note</t>
    </r>
    <r>
      <rPr>
        <sz val="8"/>
        <rFont val="Trebuchet MS"/>
        <family val="2"/>
      </rPr>
      <t>: Service Expenditure/Recipient amounts do not contain adjustments, settlements or administrative costs.</t>
    </r>
  </si>
  <si>
    <t>Table 12</t>
  </si>
  <si>
    <t>Medicaid Service Expenditures for the Disabled &amp; Blind</t>
  </si>
  <si>
    <t>Total Blind &amp; Disabled Dollars</t>
  </si>
  <si>
    <t>Total Disabled/Blind Recipients</t>
  </si>
  <si>
    <t>Service Expenditures Per Recipient**</t>
  </si>
  <si>
    <t>Table 13</t>
  </si>
  <si>
    <t xml:space="preserve">Medicaid Service Expenditures for Families and Children </t>
  </si>
  <si>
    <t>AFDC Adults</t>
  </si>
  <si>
    <t>% of Service Dollars</t>
  </si>
  <si>
    <t xml:space="preserve">Special    Pregnant   Women </t>
  </si>
  <si>
    <t>AFDC Children &amp; Other Children</t>
  </si>
  <si>
    <t>Breast Cervical</t>
  </si>
  <si>
    <t>Total Families &amp;  Children  Dollars</t>
  </si>
  <si>
    <t>Medicaid Service Expenditures for MedSolution, Alien &amp; Refugees, and Adjustment</t>
  </si>
  <si>
    <t>Table 14</t>
  </si>
  <si>
    <t>Expenditures SFY 2017</t>
  </si>
  <si>
    <t>Table 6</t>
  </si>
  <si>
    <t>State Fischal Years 1979 - 2017</t>
  </si>
  <si>
    <t>Annual Unduplicated Medicaid Eligibility</t>
  </si>
  <si>
    <t>Fiscal Year</t>
  </si>
  <si>
    <t>TANF(AFDC Adults &amp; Children)</t>
  </si>
  <si>
    <t xml:space="preserve">Family Planning </t>
  </si>
  <si>
    <t>Other Children</t>
  </si>
  <si>
    <t>Pregnant Women</t>
  </si>
  <si>
    <t>Infants &amp; Children</t>
  </si>
  <si>
    <t>Qualified Medicare Beneficiaries</t>
  </si>
  <si>
    <t>Breast &amp; Cervical Cancer</t>
  </si>
  <si>
    <t>MCHIP</t>
  </si>
  <si>
    <t>Unduplicated Total</t>
  </si>
  <si>
    <t>Percent 
Change</t>
  </si>
  <si>
    <t>1978-79</t>
  </si>
  <si>
    <t>N/A</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</si>
  <si>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</si>
  <si>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</si>
  <si>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</si>
  <si>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</si>
  <si>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</si>
  <si>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</si>
  <si>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</si>
  <si>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</si>
  <si>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</si>
  <si>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</si>
  <si>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</si>
  <si>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</si>
  <si>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</si>
  <si>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</si>
  <si>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</si>
  <si>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</si>
  <si>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</si>
  <si>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</si>
  <si>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</si>
  <si>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</si>
  <si>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</si>
  <si>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</si>
  <si>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</si>
  <si>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</si>
  <si>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</si>
  <si>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</si>
  <si>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</si>
  <si>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</si>
  <si>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</si>
  <si>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</si>
  <si>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</si>
  <si>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</si>
  <si>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</si>
  <si>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</si>
  <si>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</si>
  <si>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</si>
  <si>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</si>
  <si>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</si>
  <si>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 xml:space="preserve">SFY 2016 -% of Total </t>
  </si>
  <si>
    <t xml:space="preserve">SFY 2017 -% of Total </t>
  </si>
  <si>
    <t>Note1:  all categories are mutually exclusive in any given year; an eligible is counted in only one category during each year (the last category of record) regardless of whether they may have moved between categories.</t>
  </si>
  <si>
    <t>Note2:  Health Choice not included</t>
  </si>
  <si>
    <t>Table 3</t>
  </si>
  <si>
    <t>Enrolled National Medicaid Providers</t>
  </si>
  <si>
    <t>Provider  Type</t>
  </si>
  <si>
    <t xml:space="preserve">Unduplicated NPI Count  By Type </t>
  </si>
  <si>
    <t>NPI Count with Multiple Taxonomy codes</t>
  </si>
  <si>
    <t>Agencies</t>
  </si>
  <si>
    <t>Allopathic &amp; Osteopathic Physicians</t>
  </si>
  <si>
    <t>Ambulatory Health Care Facilities</t>
  </si>
  <si>
    <t>Behavioral Health &amp; Social Service Providers</t>
  </si>
  <si>
    <t>Chiropractic Providers</t>
  </si>
  <si>
    <t>Dental Providers</t>
  </si>
  <si>
    <t>Eye and Vision Services Providers</t>
  </si>
  <si>
    <t>Group</t>
  </si>
  <si>
    <t>Hospital Units</t>
  </si>
  <si>
    <t>Hospitals</t>
  </si>
  <si>
    <t>Laboratories</t>
  </si>
  <si>
    <t>Managed Care Organizations</t>
  </si>
  <si>
    <t>Nursing &amp; Custodial Care Facilities</t>
  </si>
  <si>
    <t>Other Service Providers</t>
  </si>
  <si>
    <t>Pharmacy Service Providers</t>
  </si>
  <si>
    <t>Physician Assistants &amp; Advanced Practice Nursing Providers</t>
  </si>
  <si>
    <t>Podiatric Medicine &amp; Surgery Service Providers</t>
  </si>
  <si>
    <t>Residential Treatment Facilities</t>
  </si>
  <si>
    <t>Respiratory, Developmental, Rehabilitative and Restorative</t>
  </si>
  <si>
    <t>Respite Care Facility</t>
  </si>
  <si>
    <t>Speech, Language and Hearing Service Providers</t>
  </si>
  <si>
    <t>Suppliers</t>
  </si>
  <si>
    <t>Transportation Services</t>
  </si>
  <si>
    <t>TOTAL</t>
  </si>
  <si>
    <t>Note: This is a count of all NPI providers that have a claim in the SFY 2017</t>
  </si>
  <si>
    <t>Run Date: 07/31/2017</t>
  </si>
  <si>
    <t>State Total</t>
  </si>
  <si>
    <t>Table 4</t>
  </si>
  <si>
    <t>State Fiscal Years 2010 - 2017</t>
  </si>
  <si>
    <t>Sources of North Carolina Medicaid Funds</t>
  </si>
  <si>
    <t>SFY 2010</t>
  </si>
  <si>
    <t>SFY 2011</t>
  </si>
  <si>
    <t>SFY 2012</t>
  </si>
  <si>
    <t>SFY 2013</t>
  </si>
  <si>
    <t>SFY 2014</t>
  </si>
  <si>
    <t>SFY 2015</t>
  </si>
  <si>
    <t>SFY 2016</t>
  </si>
  <si>
    <t>SFY 2017</t>
  </si>
  <si>
    <t>Federal</t>
  </si>
  <si>
    <r>
      <t>State</t>
    </r>
    <r>
      <rPr>
        <vertAlign val="superscript"/>
        <sz val="10"/>
        <rFont val="Trebuchet MS"/>
        <family val="2"/>
      </rPr>
      <t>1</t>
    </r>
  </si>
  <si>
    <r>
      <t>Other State</t>
    </r>
    <r>
      <rPr>
        <vertAlign val="superscript"/>
        <sz val="10"/>
        <rFont val="Trebuchet MS"/>
        <family val="2"/>
      </rPr>
      <t>2</t>
    </r>
  </si>
  <si>
    <t>County</t>
  </si>
  <si>
    <t>Total</t>
  </si>
  <si>
    <r>
      <t>Total</t>
    </r>
    <r>
      <rPr>
        <b/>
        <vertAlign val="superscript"/>
        <sz val="10"/>
        <rFont val="Trebuchet MS"/>
        <family val="2"/>
      </rPr>
      <t>3</t>
    </r>
  </si>
  <si>
    <t>Notes:</t>
  </si>
  <si>
    <t>1. "State" refers to the state appropriation of funds.</t>
  </si>
  <si>
    <t xml:space="preserve">2. "Other State" funds includes collection of nursing facility and ICF/MR assessments, prior year earned revenues, transfers from other state </t>
  </si>
  <si>
    <t xml:space="preserve">      agencies, receipts from DSH and certified public expenditures applicable to Local Education Agenices and Qualified Public Hospitals where </t>
  </si>
  <si>
    <t xml:space="preserve">     DMA pays only the federal share.</t>
  </si>
  <si>
    <t xml:space="preserve">3. Percentages are an aggregate of a variety of match rates applied at different periods during the state fiscal year and for different </t>
  </si>
  <si>
    <t xml:space="preserve">     programs/activities.</t>
  </si>
  <si>
    <t>Table 5</t>
  </si>
  <si>
    <t>State Fiscal Years 2008 - 2017</t>
  </si>
  <si>
    <t>Program and Administrative Expenditure History</t>
  </si>
  <si>
    <t>STATE FISCAL YEAR</t>
  </si>
  <si>
    <t>Change from Prior Year</t>
  </si>
  <si>
    <t>Eligibles Change from Prior Year</t>
  </si>
  <si>
    <t>Program Expenditures</t>
  </si>
  <si>
    <t>Administrative Expenditures</t>
  </si>
  <si>
    <t>SFY 2008</t>
  </si>
  <si>
    <t>SFY 2009</t>
  </si>
  <si>
    <t>SFY 2014*</t>
  </si>
  <si>
    <t>SFY 2015*</t>
  </si>
  <si>
    <t>SFY 2016*</t>
  </si>
  <si>
    <t>SFY 2017*</t>
  </si>
  <si>
    <t>Source: BD701 - State of NC General Ledger System Authorized Monthly Budget Report; Budget Code 14445, for periods ending June of each year.</t>
  </si>
  <si>
    <t>* eligibles change for SFY 2014 forward calculated based on Truven Data warehouse.</t>
  </si>
  <si>
    <t>Note: the following amounts were included in the above figures in addition to the NCTRACKS payments:</t>
  </si>
  <si>
    <t>1) Salaries and associated benefits (fund 1101)</t>
  </si>
  <si>
    <t>2) Employee travel, telecom, supplies etc… (fund 1101)</t>
  </si>
  <si>
    <t>3) Contractual payments (CSRA/Truven/recovery contractors, etc…) (fund 1102)</t>
  </si>
  <si>
    <t>4)Transfers to other departments and other NCDHHS divisions (funds 1101 / 1102)</t>
  </si>
  <si>
    <t>5) HIT administration (fund 1103)</t>
  </si>
  <si>
    <t>6) Medicare buy-in (parts A,B &amp;D for dual eligible), county transportation (fund 1310)</t>
  </si>
  <si>
    <t>7) Hospital cost settlements (fund 1320)</t>
  </si>
  <si>
    <t>8) PI/TPR recoveries on previously paid claims (fund 1330)</t>
  </si>
  <si>
    <t>9) Drug rebate collections (fund 1331)</t>
  </si>
  <si>
    <t>10) Hospital supplemental payments (DSH/GAP/MRI/UPL) (fund 1337)</t>
  </si>
  <si>
    <t>MedSolution Claims Excluded</t>
  </si>
  <si>
    <r>
      <rPr>
        <b/>
        <sz val="11"/>
        <rFont val="Calibri"/>
        <family val="2"/>
      </rPr>
      <t>Note1:</t>
    </r>
    <r>
      <rPr>
        <sz val="11"/>
        <rFont val="Calibri"/>
        <family val="2"/>
      </rPr>
      <t xml:space="preserve"> Program Category Totals do not include adjustments processed by DMA, settlements, disproportionate share costs and State and county administration costs and certified public funds in other agencies. </t>
    </r>
  </si>
  <si>
    <r>
      <rPr>
        <b/>
        <sz val="11"/>
        <rFont val="Calibri"/>
        <family val="2"/>
      </rPr>
      <t>Note2</t>
    </r>
    <r>
      <rPr>
        <sz val="11"/>
        <rFont val="Calibri"/>
        <family val="2"/>
      </rPr>
      <t>: Med-Solution is not included.</t>
    </r>
  </si>
  <si>
    <r>
      <rPr>
        <b/>
        <sz val="11"/>
        <rFont val="Calibri"/>
        <family val="2"/>
      </rPr>
      <t>Note3</t>
    </r>
    <r>
      <rPr>
        <sz val="11"/>
        <rFont val="Calibri"/>
        <family val="2"/>
      </rPr>
      <t>: HealthChoice is not included.</t>
    </r>
  </si>
  <si>
    <t>Mental Hospital (&gt; 65) *</t>
  </si>
  <si>
    <t>Psychiatric Hospital (&lt; 21) *</t>
  </si>
  <si>
    <t>CAP/Mentally Retarded *</t>
  </si>
  <si>
    <t>High Risk Intervention Residential *</t>
  </si>
  <si>
    <t>Practitioner-Non Physician *</t>
  </si>
  <si>
    <t>Other Services *</t>
  </si>
  <si>
    <t>***** This line is needed for comparison point of view only</t>
  </si>
  <si>
    <t>Source: EJ752</t>
  </si>
  <si>
    <t>2. EJ752 Report.</t>
  </si>
  <si>
    <t>Note:</t>
  </si>
  <si>
    <t>State Fiscal Year 2016</t>
  </si>
  <si>
    <t>Health Choice expenditures and eligibles are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</si>
</sst>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 numFmtId="168" formatCode="0.0%"/>
    <numFmt numFmtId="169" formatCode="General_)"/>
    <numFmt numFmtId="170" formatCode="0.0%_);\(0.0%\)"/>
    <numFmt numFmtId="171" formatCode="0.000%"/>
    <numFmt numFmtId="172" formatCode="0.00%_);\(0.00%\)"/>
  </numFmts>
  <fonts count="61" x14ac:knownFonts="1">
    <font>
      <sz val="11"/>
      <color theme="1"/>
      <name val="Calibri"/>
      <family val="2"/>
      <scheme val="minor"/>
    </font>
    <font>
      <sz val="11"/>
      <color theme="1"/>
      <name val="Calibri"/>
      <family val="2"/>
      <scheme val="minor"/>
    </font>
    <font>
      <b/>
      <sz val="11"/>
      <color theme="1"/>
      <name val="Calibri"/>
      <family val="2"/>
      <scheme val="minor"/>
    </font>
    <font>
      <b/>
      <sz val="10"/>
      <name val="Trebuchet MS"/>
      <family val="2"/>
    </font>
    <font>
      <sz val="10"/>
      <name val="MS Sans Serif"/>
    </font>
    <font>
      <b/>
      <sz val="12"/>
      <name val="Trebuchet MS"/>
      <family val="2"/>
    </font>
    <font>
      <sz val="12"/>
      <name val="Trebuchet MS"/>
      <family val="2"/>
    </font>
    <font>
      <sz val="10"/>
      <color theme="1"/>
      <name val="Trebuchet MS"/>
      <family val="2"/>
    </font>
    <font>
      <b/>
      <sz val="14"/>
      <name val="Trebuchet MS"/>
      <family val="2"/>
    </font>
    <font>
      <sz val="14"/>
      <name val="Trebuchet MS"/>
      <family val="2"/>
    </font>
    <font>
      <sz val="10"/>
      <name val="Trebuchet MS"/>
      <family val="2"/>
    </font>
    <font>
      <b/>
      <sz val="10"/>
      <color theme="1"/>
      <name val="Trebuchet MS"/>
      <family val="2"/>
    </font>
    <font>
      <b/>
      <sz val="10"/>
      <color indexed="12"/>
      <name val="Trebuchet MS"/>
      <family val="2"/>
    </font>
    <font>
      <sz val="10"/>
      <name val="System"/>
    </font>
    <font>
      <sz val="11"/>
      <name val="Calibri"/>
      <family val="2"/>
    </font>
    <font>
      <b/>
      <sz val="8"/>
      <color indexed="12"/>
      <name val="Trebuchet MS"/>
      <family val="2"/>
    </font>
    <font>
      <sz val="8"/>
      <name val="Trebuchet MS"/>
      <family val="2"/>
    </font>
    <font>
      <sz val="12"/>
      <name val="Calibri"/>
      <family val="2"/>
    </font>
    <font>
      <b/>
      <sz val="11"/>
      <name val="Calibri"/>
      <family val="2"/>
    </font>
    <font>
      <b/>
      <sz val="11"/>
      <name val="Trebuchet MS"/>
      <family val="2"/>
    </font>
    <font>
      <sz val="11"/>
      <name val="Trebuchet MS"/>
      <family val="2"/>
    </font>
    <font>
      <sz val="10"/>
      <name val="Courier"/>
    </font>
    <font>
      <b/>
      <sz val="11"/>
      <color indexed="8"/>
      <name val="Trebuchet MS"/>
      <family val="2"/>
    </font>
    <font>
      <b/>
      <sz val="11"/>
      <color theme="1"/>
      <name val="Trebuchet MS"/>
      <family val="2"/>
    </font>
    <font>
      <sz val="11"/>
      <color theme="1"/>
      <name val="Trebuchet MS"/>
      <family val="2"/>
    </font>
    <font>
      <b/>
      <sz val="10"/>
      <color indexed="8"/>
      <name val="Trebuchet MS"/>
      <family val="2"/>
    </font>
    <font>
      <sz val="8"/>
      <color theme="1"/>
      <name val="Trebuchet MS"/>
      <family val="2"/>
    </font>
    <font>
      <sz val="10"/>
      <name val="Arial"/>
      <family val="2"/>
    </font>
    <font>
      <b/>
      <sz val="8"/>
      <name val="Trebuchet MS"/>
      <family val="2"/>
    </font>
    <font>
      <b/>
      <sz val="12"/>
      <color theme="1"/>
      <name val="Trebuchet MS"/>
      <family val="2"/>
    </font>
    <font>
      <sz val="12"/>
      <color theme="1"/>
      <name val="Trebuchet MS"/>
      <family val="2"/>
    </font>
    <font>
      <sz val="10"/>
      <color theme="1"/>
      <name val="Calibri"/>
      <family val="2"/>
      <scheme val="minor"/>
    </font>
    <font>
      <b/>
      <sz val="10"/>
      <color theme="1"/>
      <name val="Calibri"/>
      <family val="2"/>
      <scheme val="minor"/>
    </font>
    <font>
      <u/>
      <sz val="11"/>
      <color theme="10"/>
      <name val="Calibri"/>
      <family val="2"/>
      <scheme val="minor"/>
    </font>
    <font>
      <vertAlign val="superscript"/>
      <sz val="10"/>
      <name val="Trebuchet MS"/>
      <family val="2"/>
    </font>
    <font>
      <b/>
      <vertAlign val="superscript"/>
      <sz val="10"/>
      <name val="Trebuchet MS"/>
      <family val="2"/>
    </font>
    <font>
      <sz val="10"/>
      <name val="Times New Roman"/>
      <family val="1"/>
    </font>
    <font>
      <sz val="10"/>
      <color theme="1"/>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u/>
      <sz val="10"/>
      <color theme="10"/>
      <name val="Trebuchet MS"/>
      <family val="2"/>
    </font>
    <font>
      <b/>
      <sz val="10"/>
      <color indexed="8"/>
      <name val="Calibri"/>
      <family val="2"/>
    </font>
    <font>
      <sz val="10"/>
      <color indexed="8"/>
      <name val="Trebuchet MS"/>
      <family val="2"/>
    </font>
    <font>
      <b/>
      <sz val="10"/>
      <name val="Calibri"/>
      <family val="2"/>
    </font>
    <font>
      <sz val="10"/>
      <color indexed="8"/>
      <name val="Calibri"/>
      <family val="2"/>
    </font>
    <font>
      <b/>
      <sz val="10"/>
      <color theme="1"/>
      <name val="Calibri"/>
      <family val="2"/>
    </font>
    <font>
      <sz val="10"/>
      <name val="Calibri"/>
      <family val="2"/>
    </font>
    <font>
      <sz val="10"/>
      <color theme="1"/>
      <name val="Calibri"/>
      <family val="2"/>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 fillId="0" borderId="0"/>
    <xf numFmtId="0" fontId="13" fillId="0" borderId="0"/>
    <xf numFmtId="169" fontId="21" fillId="0" borderId="0" applyFill="0"/>
    <xf numFmtId="0" fontId="27" fillId="0" borderId="0"/>
    <xf numFmtId="0" fontId="4" fillId="0" borderId="0"/>
    <xf numFmtId="0" fontId="4" fillId="0" borderId="0"/>
    <xf numFmtId="0" fontId="33" fillId="0" borderId="0" applyNumberFormat="0" applyFill="0" applyBorder="0" applyAlignment="0" applyProtection="0"/>
    <xf numFmtId="0" fontId="27" fillId="0" borderId="0"/>
    <xf numFmtId="0" fontId="38" fillId="0" borderId="0" applyNumberFormat="0" applyFill="0" applyBorder="0" applyAlignment="0" applyProtection="0"/>
    <xf numFmtId="0" fontId="39" fillId="0" borderId="2" applyNumberFormat="0" applyFill="0" applyAlignment="0" applyProtection="0"/>
    <xf numFmtId="0" fontId="40" fillId="0" borderId="3" applyNumberFormat="0" applyFill="0" applyAlignment="0" applyProtection="0"/>
    <xf numFmtId="0" fontId="41" fillId="0" borderId="4" applyNumberFormat="0" applyFill="0" applyAlignment="0" applyProtection="0"/>
    <xf numFmtId="0" fontId="41" fillId="0" borderId="0" applyNumberFormat="0" applyFill="0" applyBorder="0" applyAlignment="0" applyProtection="0"/>
    <xf numFmtId="0" fontId="42" fillId="5" borderId="0" applyNumberFormat="0" applyBorder="0" applyAlignment="0" applyProtection="0"/>
    <xf numFmtId="0" fontId="43" fillId="6" borderId="0" applyNumberFormat="0" applyBorder="0" applyAlignment="0" applyProtection="0"/>
    <xf numFmtId="0" fontId="44" fillId="8" borderId="5" applyNumberFormat="0" applyAlignment="0" applyProtection="0"/>
    <xf numFmtId="0" fontId="45" fillId="9" borderId="6" applyNumberFormat="0" applyAlignment="0" applyProtection="0"/>
    <xf numFmtId="0" fontId="46" fillId="9" borderId="5" applyNumberFormat="0" applyAlignment="0" applyProtection="0"/>
    <xf numFmtId="0" fontId="47" fillId="0" borderId="7" applyNumberFormat="0" applyFill="0" applyAlignment="0" applyProtection="0"/>
    <xf numFmtId="0" fontId="48" fillId="10" borderId="8" applyNumberFormat="0" applyAlignment="0" applyProtection="0"/>
    <xf numFmtId="0" fontId="49" fillId="0" borderId="0" applyNumberFormat="0" applyFill="0" applyBorder="0" applyAlignment="0" applyProtection="0"/>
    <xf numFmtId="0" fontId="1" fillId="11" borderId="9" applyNumberFormat="0" applyFont="0" applyAlignment="0" applyProtection="0"/>
    <xf numFmtId="0" fontId="50" fillId="0" borderId="0" applyNumberFormat="0" applyFill="0" applyBorder="0" applyAlignment="0" applyProtection="0"/>
    <xf numFmtId="0" fontId="2" fillId="0" borderId="10" applyNumberFormat="0" applyFill="0" applyAlignment="0" applyProtection="0"/>
    <xf numFmtId="0" fontId="5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2" fillId="7" borderId="0" applyNumberFormat="0" applyBorder="0" applyAlignment="0" applyProtection="0"/>
    <xf numFmtId="0" fontId="51" fillId="15" borderId="0" applyNumberFormat="0" applyBorder="0" applyAlignment="0" applyProtection="0"/>
    <xf numFmtId="0" fontId="51" fillId="19" borderId="0" applyNumberFormat="0" applyBorder="0" applyAlignment="0" applyProtection="0"/>
    <xf numFmtId="0" fontId="51" fillId="23" borderId="0" applyNumberFormat="0" applyBorder="0" applyAlignment="0" applyProtection="0"/>
    <xf numFmtId="0" fontId="51" fillId="27" borderId="0" applyNumberFormat="0" applyBorder="0" applyAlignment="0" applyProtection="0"/>
    <xf numFmtId="0" fontId="51" fillId="31" borderId="0" applyNumberFormat="0" applyBorder="0" applyAlignment="0" applyProtection="0"/>
    <xf numFmtId="0" fontId="51" fillId="35" borderId="0" applyNumberFormat="0" applyBorder="0" applyAlignment="0" applyProtection="0"/>
  </cellStyleXfs>
  <cellXfs count="463">
    <xf numFmtId="0" fontId="0" fillId="0" borderId="0" xfId="0"/>
    <xf numFmtId="0" fontId="2" fillId="0" borderId="0" xfId="0" applyFont="1"/>
    <xf numFmtId="164" fontId="1" fillId="0" borderId="0" xfId="1" applyNumberFormat="1" applyFont="1"/>
    <xf numFmtId="164" fontId="0" fillId="0" borderId="0" xfId="0" applyNumberFormat="1"/>
    <xf numFmtId="165" fontId="1" fillId="0" borderId="0" xfId="2" applyNumberFormat="1" applyFont="1"/>
    <xf numFmtId="164" fontId="0" fillId="0" borderId="0" xfId="1" applyNumberFormat="1" applyFont="1"/>
    <xf numFmtId="0" fontId="3" fillId="0" borderId="0" xfId="0" applyFont="1" applyBorder="1" applyAlignment="1">
      <alignment horizontal="left"/>
    </xf>
    <xf numFmtId="165" fontId="2" fillId="0" borderId="0" xfId="2" applyNumberFormat="1" applyFont="1"/>
    <xf numFmtId="0" fontId="6" fillId="0" borderId="0" xfId="4" applyFont="1" applyFill="1" applyBorder="1" applyAlignment="1">
      <alignment horizontal="left"/>
    </xf>
    <xf numFmtId="4" fontId="3" fillId="0" borderId="1" xfId="4" applyNumberFormat="1" applyFont="1" applyFill="1" applyBorder="1" applyAlignment="1">
      <alignment horizontal="left" wrapText="1"/>
    </xf>
    <xf numFmtId="166" fontId="3" fillId="0" borderId="1" xfId="1" applyNumberFormat="1" applyFont="1" applyFill="1" applyBorder="1" applyAlignment="1">
      <alignment horizontal="right" wrapText="1"/>
    </xf>
    <xf numFmtId="10" fontId="3" fillId="0" borderId="1" xfId="4" applyNumberFormat="1" applyFont="1" applyFill="1" applyBorder="1" applyAlignment="1">
      <alignment horizontal="right" wrapText="1"/>
    </xf>
    <xf numFmtId="167" fontId="3" fillId="0" borderId="1" xfId="1" applyNumberFormat="1" applyFont="1" applyFill="1" applyBorder="1" applyAlignment="1">
      <alignment horizontal="right" wrapText="1"/>
    </xf>
    <xf numFmtId="0" fontId="7" fillId="0" borderId="0" xfId="0" applyFont="1" applyFill="1" applyBorder="1" applyAlignment="1">
      <alignment horizontal="right"/>
    </xf>
    <xf numFmtId="164" fontId="2" fillId="0" borderId="0" xfId="1" applyNumberFormat="1" applyFont="1" applyFill="1"/>
    <xf numFmtId="164" fontId="1" fillId="0" borderId="0" xfId="1" applyNumberFormat="1" applyFont="1" applyFill="1"/>
    <xf numFmtId="0" fontId="0" fillId="0" borderId="0" xfId="0" applyFill="1"/>
    <xf numFmtId="0" fontId="6" fillId="0" borderId="0" xfId="0" applyFont="1" applyFill="1" applyBorder="1"/>
    <xf numFmtId="0" fontId="8" fillId="0" borderId="0" xfId="0" applyFont="1" applyFill="1" applyBorder="1" applyAlignment="1">
      <alignment horizontal="left"/>
    </xf>
    <xf numFmtId="0" fontId="9" fillId="0" borderId="0" xfId="0" applyFont="1" applyFill="1" applyBorder="1" applyAlignment="1">
      <alignment horizontal="right"/>
    </xf>
    <xf numFmtId="0" fontId="9" fillId="0" borderId="0" xfId="0" applyFont="1" applyFill="1" applyBorder="1"/>
    <xf numFmtId="0" fontId="3" fillId="0" borderId="1" xfId="0" applyFont="1" applyFill="1" applyBorder="1" applyAlignment="1">
      <alignment horizontal="left" wrapText="1"/>
    </xf>
    <xf numFmtId="0" fontId="3" fillId="0" borderId="1" xfId="0" applyFont="1" applyFill="1" applyBorder="1" applyAlignment="1">
      <alignment horizontal="right" wrapText="1"/>
    </xf>
    <xf numFmtId="168" fontId="3" fillId="0" borderId="1" xfId="0" applyNumberFormat="1" applyFont="1" applyFill="1" applyBorder="1" applyAlignment="1">
      <alignment horizontal="right" wrapText="1"/>
    </xf>
    <xf numFmtId="0" fontId="3" fillId="0" borderId="0" xfId="0" applyFont="1" applyFill="1" applyBorder="1" applyAlignment="1">
      <alignment wrapText="1"/>
    </xf>
    <xf numFmtId="0" fontId="10" fillId="0" borderId="0" xfId="0" applyNumberFormat="1" applyFont="1" applyFill="1" applyBorder="1" applyAlignment="1">
      <alignment horizontal="left" indent="1"/>
    </xf>
    <xf numFmtId="168" fontId="10" fillId="0" borderId="0" xfId="0" applyNumberFormat="1" applyFont="1" applyFill="1" applyBorder="1" applyAlignment="1">
      <alignment horizontal="right"/>
    </xf>
    <xf numFmtId="166" fontId="10" fillId="0" borderId="0" xfId="0" applyNumberFormat="1" applyFont="1" applyFill="1" applyBorder="1" applyAlignment="1">
      <alignment horizontal="right"/>
    </xf>
    <xf numFmtId="166" fontId="10" fillId="0" borderId="0" xfId="1" applyNumberFormat="1" applyFont="1" applyFill="1" applyBorder="1" applyAlignment="1">
      <alignment horizontal="right"/>
    </xf>
    <xf numFmtId="0" fontId="10" fillId="0" borderId="0" xfId="0" applyFont="1" applyFill="1" applyBorder="1"/>
    <xf numFmtId="0" fontId="10" fillId="0" borderId="0" xfId="0" applyFont="1" applyFill="1" applyBorder="1" applyAlignment="1">
      <alignment horizontal="left" indent="1"/>
    </xf>
    <xf numFmtId="0" fontId="3" fillId="0" borderId="0" xfId="0" applyFont="1" applyFill="1" applyBorder="1" applyAlignment="1">
      <alignment horizontal="left"/>
    </xf>
    <xf numFmtId="166" fontId="3" fillId="0" borderId="0" xfId="1" applyNumberFormat="1" applyFont="1" applyFill="1" applyBorder="1" applyAlignment="1">
      <alignment horizontal="right"/>
    </xf>
    <xf numFmtId="168" fontId="3" fillId="0" borderId="0" xfId="0" applyNumberFormat="1" applyFont="1" applyFill="1" applyBorder="1" applyAlignment="1">
      <alignment horizontal="right"/>
    </xf>
    <xf numFmtId="165"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6" fontId="11" fillId="0" borderId="0" xfId="1" applyNumberFormat="1" applyFont="1" applyFill="1" applyBorder="1" applyAlignment="1">
      <alignment horizontal="right"/>
    </xf>
    <xf numFmtId="0" fontId="10" fillId="0" borderId="0" xfId="0" applyFont="1" applyFill="1" applyBorder="1" applyAlignment="1">
      <alignment horizontal="left"/>
    </xf>
    <xf numFmtId="165" fontId="10" fillId="0" borderId="0" xfId="0" applyNumberFormat="1" applyFont="1" applyFill="1" applyBorder="1" applyAlignment="1">
      <alignment horizontal="right"/>
    </xf>
    <xf numFmtId="0" fontId="3" fillId="0" borderId="0" xfId="0" applyFont="1" applyFill="1" applyBorder="1"/>
    <xf numFmtId="165" fontId="10" fillId="0" borderId="0" xfId="2" quotePrefix="1" applyNumberFormat="1" applyFont="1" applyFill="1" applyBorder="1" applyAlignment="1">
      <alignment horizontal="right"/>
    </xf>
    <xf numFmtId="3" fontId="3" fillId="0" borderId="0" xfId="0" applyNumberFormat="1" applyFont="1" applyFill="1" applyBorder="1" applyAlignment="1">
      <alignment horizontal="right"/>
    </xf>
    <xf numFmtId="166" fontId="3" fillId="0" borderId="0" xfId="2" applyNumberFormat="1" applyFont="1" applyFill="1" applyBorder="1" applyAlignment="1">
      <alignment horizontal="right"/>
    </xf>
    <xf numFmtId="168" fontId="12" fillId="0" borderId="0" xfId="0" applyNumberFormat="1" applyFont="1" applyFill="1" applyBorder="1" applyAlignment="1">
      <alignment horizontal="right"/>
    </xf>
    <xf numFmtId="164" fontId="3" fillId="0" borderId="0" xfId="1" applyNumberFormat="1" applyFont="1" applyFill="1" applyBorder="1" applyAlignment="1">
      <alignment horizontal="right"/>
    </xf>
    <xf numFmtId="164" fontId="3" fillId="0" borderId="0" xfId="0" applyNumberFormat="1" applyFont="1" applyFill="1" applyBorder="1" applyAlignment="1">
      <alignment horizontal="right"/>
    </xf>
    <xf numFmtId="43" fontId="3" fillId="0" borderId="0" xfId="0" applyNumberFormat="1" applyFont="1" applyFill="1" applyBorder="1" applyAlignment="1">
      <alignment horizontal="right"/>
    </xf>
    <xf numFmtId="0" fontId="3" fillId="0" borderId="0" xfId="0" applyFont="1" applyFill="1" applyBorder="1" applyAlignment="1">
      <alignment horizontal="right"/>
    </xf>
    <xf numFmtId="0" fontId="3" fillId="0" borderId="0" xfId="5" applyFont="1" applyFill="1" applyBorder="1" applyAlignment="1">
      <alignment horizontal="left"/>
    </xf>
    <xf numFmtId="165" fontId="2" fillId="0" borderId="0" xfId="2" applyNumberFormat="1" applyFont="1" applyFill="1"/>
    <xf numFmtId="3" fontId="10" fillId="0" borderId="0" xfId="0" applyNumberFormat="1" applyFont="1" applyFill="1" applyBorder="1" applyAlignment="1">
      <alignment horizontal="right"/>
    </xf>
    <xf numFmtId="0" fontId="14" fillId="0" borderId="0" xfId="0" applyFont="1" applyFill="1" applyBorder="1" applyAlignment="1">
      <alignment horizontal="left"/>
    </xf>
    <xf numFmtId="0" fontId="14" fillId="0" borderId="0" xfId="0" applyFont="1" applyFill="1"/>
    <xf numFmtId="168" fontId="14" fillId="0" borderId="0" xfId="0" applyNumberFormat="1" applyFont="1" applyFill="1"/>
    <xf numFmtId="168" fontId="15" fillId="0" borderId="0" xfId="0" applyNumberFormat="1" applyFont="1" applyFill="1" applyBorder="1" applyAlignment="1">
      <alignment horizontal="right"/>
    </xf>
    <xf numFmtId="0" fontId="16" fillId="0" borderId="0" xfId="0" applyFont="1" applyFill="1" applyBorder="1"/>
    <xf numFmtId="0" fontId="18" fillId="0" borderId="0" xfId="0" applyFont="1" applyFill="1" applyBorder="1" applyAlignment="1">
      <alignment horizontal="left"/>
    </xf>
    <xf numFmtId="0" fontId="18" fillId="0" borderId="0" xfId="0" applyFont="1" applyFill="1" applyBorder="1"/>
    <xf numFmtId="0" fontId="14" fillId="0" borderId="0" xfId="0" applyFont="1" applyFill="1" applyBorder="1"/>
    <xf numFmtId="165" fontId="14" fillId="0" borderId="0" xfId="0" applyNumberFormat="1" applyFont="1" applyFill="1" applyBorder="1"/>
    <xf numFmtId="44" fontId="18" fillId="0" borderId="0" xfId="1" applyFont="1" applyFill="1" applyBorder="1"/>
    <xf numFmtId="164" fontId="18" fillId="0" borderId="0" xfId="0" applyNumberFormat="1" applyFont="1" applyFill="1" applyBorder="1"/>
    <xf numFmtId="0" fontId="19" fillId="0" borderId="0" xfId="5" applyFont="1" applyFill="1" applyBorder="1" applyAlignment="1">
      <alignment horizontal="left"/>
    </xf>
    <xf numFmtId="0" fontId="20" fillId="0" borderId="0" xfId="0" applyFont="1" applyFill="1" applyBorder="1" applyAlignment="1">
      <alignment horizontal="right"/>
    </xf>
    <xf numFmtId="165" fontId="19" fillId="0" borderId="0" xfId="0" applyNumberFormat="1" applyFont="1" applyFill="1" applyBorder="1" applyAlignment="1">
      <alignment horizontal="right"/>
    </xf>
    <xf numFmtId="44" fontId="19" fillId="0" borderId="0" xfId="1" applyFont="1" applyFill="1" applyBorder="1" applyAlignment="1">
      <alignment horizontal="right"/>
    </xf>
    <xf numFmtId="0" fontId="19" fillId="0" borderId="0" xfId="0" applyFont="1" applyFill="1" applyBorder="1" applyAlignment="1">
      <alignment horizontal="right"/>
    </xf>
    <xf numFmtId="168" fontId="19" fillId="0" borderId="0" xfId="0" applyNumberFormat="1" applyFont="1" applyFill="1" applyBorder="1" applyAlignment="1">
      <alignment horizontal="right"/>
    </xf>
    <xf numFmtId="0" fontId="20" fillId="0" borderId="0" xfId="0" applyFont="1" applyFill="1" applyBorder="1"/>
    <xf numFmtId="0" fontId="20" fillId="0" borderId="0" xfId="0" applyFont="1" applyFill="1" applyBorder="1" applyAlignment="1">
      <alignment horizontal="left"/>
    </xf>
    <xf numFmtId="0" fontId="19" fillId="0" borderId="0" xfId="5" applyFont="1" applyFill="1" applyBorder="1" applyAlignment="1">
      <alignment horizontal="right"/>
    </xf>
    <xf numFmtId="0" fontId="23" fillId="0" borderId="0" xfId="0" applyFont="1" applyFill="1" applyAlignment="1">
      <alignment horizontal="right" wrapText="1"/>
    </xf>
    <xf numFmtId="0" fontId="23" fillId="0" borderId="0" xfId="0" applyFont="1" applyFill="1" applyAlignment="1">
      <alignment horizontal="center" wrapText="1"/>
    </xf>
    <xf numFmtId="166" fontId="24" fillId="0" borderId="0" xfId="1" applyNumberFormat="1" applyFont="1" applyBorder="1"/>
    <xf numFmtId="165" fontId="24" fillId="0" borderId="0" xfId="2" applyNumberFormat="1" applyFont="1" applyBorder="1"/>
    <xf numFmtId="168" fontId="24" fillId="0" borderId="0" xfId="3" applyNumberFormat="1" applyFont="1" applyBorder="1"/>
    <xf numFmtId="0" fontId="24" fillId="0" borderId="0" xfId="0" applyFont="1"/>
    <xf numFmtId="0" fontId="24" fillId="0" borderId="0" xfId="0" applyFont="1" applyBorder="1"/>
    <xf numFmtId="164" fontId="24" fillId="0" borderId="0" xfId="1" applyNumberFormat="1" applyFont="1" applyBorder="1"/>
    <xf numFmtId="165" fontId="2" fillId="0" borderId="0" xfId="0" applyNumberFormat="1" applyFont="1"/>
    <xf numFmtId="0" fontId="25" fillId="3" borderId="0" xfId="0" applyNumberFormat="1" applyFont="1" applyFill="1" applyBorder="1" applyAlignment="1" applyProtection="1">
      <alignment horizontal="left" wrapText="1"/>
    </xf>
    <xf numFmtId="165" fontId="11" fillId="0" borderId="0" xfId="2" applyNumberFormat="1" applyFont="1" applyBorder="1" applyAlignment="1">
      <alignment horizontal="right"/>
    </xf>
    <xf numFmtId="0" fontId="11" fillId="0" borderId="0" xfId="0" applyFont="1" applyBorder="1"/>
    <xf numFmtId="0" fontId="24" fillId="0" borderId="0" xfId="0" applyFont="1" applyBorder="1" applyAlignment="1">
      <alignment horizontal="left"/>
    </xf>
    <xf numFmtId="0" fontId="26" fillId="0" borderId="0" xfId="0" applyFont="1" applyBorder="1"/>
    <xf numFmtId="0" fontId="26" fillId="0" borderId="0" xfId="0" applyFont="1" applyFill="1" applyBorder="1"/>
    <xf numFmtId="164" fontId="26" fillId="0" borderId="0" xfId="1" applyNumberFormat="1" applyFont="1" applyFill="1" applyBorder="1"/>
    <xf numFmtId="165" fontId="24" fillId="0" borderId="0" xfId="2" applyNumberFormat="1" applyFont="1"/>
    <xf numFmtId="164" fontId="24" fillId="0" borderId="0" xfId="1" applyNumberFormat="1" applyFont="1"/>
    <xf numFmtId="10" fontId="24" fillId="0" borderId="0" xfId="3" applyNumberFormat="1" applyFont="1"/>
    <xf numFmtId="0" fontId="24" fillId="0" borderId="0" xfId="0" applyFont="1" applyAlignment="1">
      <alignment horizontal="left"/>
    </xf>
    <xf numFmtId="0" fontId="23" fillId="0" borderId="0" xfId="0" applyFont="1" applyBorder="1"/>
    <xf numFmtId="0" fontId="23" fillId="0" borderId="0" xfId="0" applyFont="1"/>
    <xf numFmtId="0" fontId="3" fillId="0" borderId="0" xfId="0" applyFont="1" applyBorder="1"/>
    <xf numFmtId="0" fontId="10" fillId="0" borderId="0" xfId="0" quotePrefix="1" applyNumberFormat="1" applyFont="1" applyBorder="1"/>
    <xf numFmtId="0" fontId="3" fillId="0" borderId="0" xfId="0" quotePrefix="1" applyNumberFormat="1" applyFont="1" applyBorder="1"/>
    <xf numFmtId="3" fontId="3" fillId="0" borderId="1" xfId="0" applyNumberFormat="1" applyFont="1" applyFill="1" applyBorder="1" applyAlignment="1">
      <alignment horizontal="right" wrapText="1"/>
    </xf>
    <xf numFmtId="4" fontId="3" fillId="0" borderId="1" xfId="0" applyNumberFormat="1" applyFont="1" applyFill="1" applyBorder="1" applyAlignment="1">
      <alignment horizontal="left" wrapText="1"/>
    </xf>
    <xf numFmtId="165" fontId="3" fillId="0" borderId="1" xfId="2" applyNumberFormat="1" applyFont="1" applyFill="1" applyBorder="1" applyAlignment="1">
      <alignment horizontal="right" wrapText="1"/>
    </xf>
    <xf numFmtId="164" fontId="3" fillId="0" borderId="1" xfId="1" applyNumberFormat="1" applyFont="1" applyFill="1" applyBorder="1" applyAlignment="1">
      <alignment horizontal="right" wrapText="1"/>
    </xf>
    <xf numFmtId="0" fontId="30" fillId="0" borderId="0" xfId="0" applyFont="1" applyBorder="1"/>
    <xf numFmtId="0" fontId="30" fillId="0" borderId="0" xfId="0" applyFont="1"/>
    <xf numFmtId="3" fontId="5" fillId="0" borderId="0" xfId="0" applyNumberFormat="1" applyFont="1" applyBorder="1" applyAlignment="1">
      <alignment horizontal="center"/>
    </xf>
    <xf numFmtId="0" fontId="5" fillId="0" borderId="0" xfId="0" applyFont="1" applyBorder="1"/>
    <xf numFmtId="168" fontId="2" fillId="0" borderId="0" xfId="0" applyNumberFormat="1" applyFont="1"/>
    <xf numFmtId="0" fontId="3" fillId="0" borderId="0" xfId="0" applyNumberFormat="1" applyFont="1" applyBorder="1"/>
    <xf numFmtId="165" fontId="11" fillId="0" borderId="0" xfId="2" applyNumberFormat="1" applyFont="1" applyBorder="1"/>
    <xf numFmtId="3" fontId="5" fillId="0" borderId="0" xfId="4" applyNumberFormat="1" applyFont="1" applyFill="1" applyBorder="1" applyAlignment="1">
      <alignment horizontal="left"/>
    </xf>
    <xf numFmtId="0" fontId="3" fillId="0" borderId="0" xfId="4" applyFont="1" applyFill="1" applyBorder="1" applyAlignment="1">
      <alignment horizontal="left"/>
    </xf>
    <xf numFmtId="0" fontId="3" fillId="0" borderId="0" xfId="4" applyFont="1" applyFill="1" applyBorder="1"/>
    <xf numFmtId="0" fontId="10" fillId="0" borderId="0" xfId="0" quotePrefix="1" applyNumberFormat="1" applyFont="1" applyFill="1" applyBorder="1"/>
    <xf numFmtId="0" fontId="7" fillId="0" borderId="0" xfId="0" applyFont="1" applyFill="1" applyBorder="1"/>
    <xf numFmtId="49" fontId="11" fillId="0" borderId="0" xfId="0" applyNumberFormat="1" applyFont="1" applyFill="1" applyBorder="1"/>
    <xf numFmtId="164" fontId="0" fillId="0" borderId="0" xfId="0" applyNumberFormat="1" applyFill="1"/>
    <xf numFmtId="164" fontId="2" fillId="0" borderId="0" xfId="0" applyNumberFormat="1" applyFont="1" applyFill="1"/>
    <xf numFmtId="0" fontId="2" fillId="0" borderId="0" xfId="0" applyFont="1" applyFill="1"/>
    <xf numFmtId="170" fontId="7" fillId="0" borderId="0" xfId="0" applyNumberFormat="1" applyFont="1" applyFill="1" applyBorder="1"/>
    <xf numFmtId="170" fontId="11" fillId="0" borderId="0" xfId="0" applyNumberFormat="1" applyFont="1" applyFill="1" applyBorder="1"/>
    <xf numFmtId="170" fontId="7" fillId="0" borderId="1" xfId="0" applyNumberFormat="1" applyFont="1" applyFill="1" applyBorder="1"/>
    <xf numFmtId="0" fontId="26" fillId="0" borderId="0" xfId="0" applyFont="1" applyFill="1" applyBorder="1" applyAlignment="1">
      <alignment vertical="center"/>
    </xf>
    <xf numFmtId="166" fontId="26" fillId="0" borderId="0" xfId="1" applyNumberFormat="1" applyFont="1" applyFill="1" applyBorder="1"/>
    <xf numFmtId="167" fontId="26" fillId="0" borderId="0" xfId="1" applyNumberFormat="1" applyFont="1" applyFill="1" applyBorder="1"/>
    <xf numFmtId="0" fontId="16" fillId="0" borderId="0" xfId="4" applyFont="1" applyFill="1" applyBorder="1" applyAlignment="1">
      <alignment horizontal="left"/>
    </xf>
    <xf numFmtId="166" fontId="16" fillId="0" borderId="0" xfId="4" applyNumberFormat="1" applyFont="1" applyFill="1" applyBorder="1" applyAlignment="1">
      <alignment horizontal="center"/>
    </xf>
    <xf numFmtId="168" fontId="16" fillId="0" borderId="0" xfId="4" applyNumberFormat="1" applyFont="1" applyFill="1" applyBorder="1" applyAlignment="1">
      <alignment horizontal="center"/>
    </xf>
    <xf numFmtId="167" fontId="16" fillId="0" borderId="0" xfId="4" applyNumberFormat="1" applyFont="1" applyFill="1" applyBorder="1" applyAlignment="1">
      <alignment horizontal="center"/>
    </xf>
    <xf numFmtId="167" fontId="16" fillId="0" borderId="0" xfId="4" applyNumberFormat="1" applyFont="1" applyFill="1" applyBorder="1"/>
    <xf numFmtId="167" fontId="16" fillId="0" borderId="0" xfId="1" applyNumberFormat="1" applyFont="1" applyFill="1" applyBorder="1"/>
    <xf numFmtId="0" fontId="16" fillId="0" borderId="0" xfId="4" applyFont="1" applyFill="1" applyBorder="1"/>
    <xf numFmtId="167" fontId="28" fillId="0" borderId="0" xfId="4" applyNumberFormat="1" applyFont="1" applyFill="1" applyBorder="1" applyAlignment="1">
      <alignment horizontal="right"/>
    </xf>
    <xf numFmtId="166" fontId="16" fillId="0" borderId="0" xfId="1" applyNumberFormat="1" applyFont="1" applyFill="1" applyBorder="1"/>
    <xf numFmtId="10" fontId="16" fillId="0" borderId="0" xfId="4" applyNumberFormat="1" applyFont="1" applyFill="1" applyBorder="1"/>
    <xf numFmtId="0" fontId="31" fillId="0" borderId="0" xfId="0" applyFont="1"/>
    <xf numFmtId="49" fontId="3" fillId="0" borderId="1" xfId="0" applyNumberFormat="1" applyFont="1" applyFill="1" applyBorder="1" applyAlignment="1">
      <alignment horizontal="left" wrapText="1"/>
    </xf>
    <xf numFmtId="168" fontId="3" fillId="0" borderId="1" xfId="1" quotePrefix="1" applyNumberFormat="1" applyFont="1" applyFill="1" applyBorder="1" applyAlignment="1">
      <alignment horizontal="right" wrapText="1"/>
    </xf>
    <xf numFmtId="4" fontId="3" fillId="0" borderId="0" xfId="0" applyNumberFormat="1" applyFont="1" applyFill="1" applyBorder="1" applyAlignment="1">
      <alignment horizontal="left"/>
    </xf>
    <xf numFmtId="164" fontId="3" fillId="0" borderId="0" xfId="1" applyNumberFormat="1" applyFont="1" applyFill="1" applyBorder="1" applyAlignment="1">
      <alignment horizontal="left"/>
    </xf>
    <xf numFmtId="164" fontId="28" fillId="0" borderId="0" xfId="1" applyNumberFormat="1" applyFont="1" applyFill="1" applyBorder="1" applyAlignment="1">
      <alignment horizontal="right"/>
    </xf>
    <xf numFmtId="168" fontId="15" fillId="0" borderId="0" xfId="1" applyNumberFormat="1" applyFont="1" applyFill="1" applyBorder="1" applyAlignment="1">
      <alignment horizontal="right"/>
    </xf>
    <xf numFmtId="3" fontId="28" fillId="0" borderId="0" xfId="0" applyNumberFormat="1" applyFont="1" applyFill="1" applyBorder="1" applyAlignment="1">
      <alignment horizontal="right"/>
    </xf>
    <xf numFmtId="168" fontId="28" fillId="0" borderId="0" xfId="3" applyNumberFormat="1" applyFont="1" applyFill="1" applyBorder="1" applyAlignment="1">
      <alignment horizontal="right"/>
    </xf>
    <xf numFmtId="0" fontId="16" fillId="0" borderId="0" xfId="0" applyFont="1" applyFill="1" applyBorder="1" applyAlignment="1">
      <alignment horizontal="right"/>
    </xf>
    <xf numFmtId="164" fontId="16" fillId="0" borderId="0" xfId="1" applyNumberFormat="1" applyFont="1" applyFill="1" applyBorder="1" applyAlignment="1">
      <alignment horizontal="right"/>
    </xf>
    <xf numFmtId="9" fontId="16" fillId="0" borderId="0" xfId="3" applyFont="1" applyFill="1" applyBorder="1" applyAlignment="1">
      <alignment horizontal="right"/>
    </xf>
    <xf numFmtId="164" fontId="16" fillId="0" borderId="0" xfId="1" applyNumberFormat="1" applyFont="1" applyFill="1" applyBorder="1"/>
    <xf numFmtId="168" fontId="19" fillId="0" borderId="0" xfId="0" applyNumberFormat="1" applyFont="1" applyFill="1" applyBorder="1" applyAlignment="1">
      <alignment horizontal="left"/>
    </xf>
    <xf numFmtId="168" fontId="3" fillId="0" borderId="1" xfId="4" applyNumberFormat="1" applyFont="1" applyFill="1" applyBorder="1" applyAlignment="1">
      <alignment horizontal="right" wrapText="1"/>
    </xf>
    <xf numFmtId="168" fontId="28" fillId="0" borderId="0" xfId="1" applyNumberFormat="1" applyFont="1" applyFill="1" applyBorder="1" applyAlignment="1">
      <alignment horizontal="right"/>
    </xf>
    <xf numFmtId="168" fontId="28" fillId="0" borderId="0" xfId="0" applyNumberFormat="1" applyFont="1" applyFill="1" applyBorder="1" applyAlignment="1">
      <alignment horizontal="right"/>
    </xf>
    <xf numFmtId="0" fontId="6" fillId="0" borderId="0" xfId="8" applyFont="1" applyFill="1" applyBorder="1"/>
    <xf numFmtId="4" fontId="19" fillId="0" borderId="0" xfId="8" applyNumberFormat="1" applyFont="1" applyFill="1" applyBorder="1" applyAlignment="1">
      <alignment horizontal="left"/>
    </xf>
    <xf numFmtId="0" fontId="20" fillId="0" borderId="0" xfId="8" applyFont="1" applyFill="1" applyBorder="1"/>
    <xf numFmtId="49" fontId="3" fillId="0" borderId="1" xfId="8" applyNumberFormat="1" applyFont="1" applyFill="1" applyBorder="1" applyAlignment="1">
      <alignment horizontal="left" wrapText="1"/>
    </xf>
    <xf numFmtId="49" fontId="3" fillId="0" borderId="1" xfId="8" applyNumberFormat="1" applyFont="1" applyFill="1" applyBorder="1" applyAlignment="1">
      <alignment horizontal="right"/>
    </xf>
    <xf numFmtId="168" fontId="3" fillId="0" borderId="1" xfId="8" applyNumberFormat="1" applyFont="1" applyFill="1" applyBorder="1" applyAlignment="1">
      <alignment horizontal="right" wrapText="1"/>
    </xf>
    <xf numFmtId="49" fontId="3" fillId="0" borderId="1" xfId="8" applyNumberFormat="1" applyFont="1" applyFill="1" applyBorder="1" applyAlignment="1">
      <alignment horizontal="right" wrapText="1"/>
    </xf>
    <xf numFmtId="0" fontId="3" fillId="0" borderId="0" xfId="8" applyFont="1" applyFill="1" applyBorder="1" applyAlignment="1">
      <alignment horizontal="right"/>
    </xf>
    <xf numFmtId="0" fontId="3" fillId="0" borderId="0" xfId="8" applyFont="1" applyFill="1" applyBorder="1" applyAlignment="1">
      <alignment horizontal="left"/>
    </xf>
    <xf numFmtId="0" fontId="10" fillId="0" borderId="0" xfId="0" quotePrefix="1" applyNumberFormat="1" applyFont="1" applyFill="1" applyBorder="1" applyAlignment="1">
      <alignment horizontal="left"/>
    </xf>
    <xf numFmtId="49" fontId="7" fillId="0" borderId="0" xfId="0" applyNumberFormat="1" applyFont="1" applyBorder="1" applyAlignment="1">
      <alignment horizontal="left"/>
    </xf>
    <xf numFmtId="49" fontId="7" fillId="0" borderId="0" xfId="0" applyNumberFormat="1" applyFont="1" applyFill="1" applyBorder="1" applyAlignment="1">
      <alignment horizontal="left"/>
    </xf>
    <xf numFmtId="49" fontId="11" fillId="0" borderId="0" xfId="0" applyNumberFormat="1" applyFont="1" applyFill="1" applyBorder="1" applyAlignment="1">
      <alignment horizontal="left"/>
    </xf>
    <xf numFmtId="164" fontId="1" fillId="0" borderId="0" xfId="1" applyNumberFormat="1" applyFont="1" applyFill="1" applyBorder="1"/>
    <xf numFmtId="0" fontId="16" fillId="0" borderId="0" xfId="0" applyFont="1" applyFill="1" applyBorder="1" applyAlignment="1">
      <alignment horizontal="left"/>
    </xf>
    <xf numFmtId="164" fontId="16" fillId="0" borderId="0" xfId="1" applyNumberFormat="1" applyFont="1" applyFill="1" applyBorder="1" applyAlignment="1">
      <alignment horizontal="center"/>
    </xf>
    <xf numFmtId="164" fontId="0" fillId="0" borderId="0" xfId="1" applyNumberFormat="1" applyFont="1" applyFill="1"/>
    <xf numFmtId="168" fontId="0" fillId="0" borderId="0" xfId="3" applyNumberFormat="1" applyFont="1" applyFill="1"/>
    <xf numFmtId="168" fontId="0" fillId="0" borderId="0" xfId="1" applyNumberFormat="1" applyFont="1" applyFill="1"/>
    <xf numFmtId="168" fontId="0" fillId="0" borderId="0" xfId="0" applyNumberFormat="1" applyFill="1"/>
    <xf numFmtId="0" fontId="31" fillId="0" borderId="0" xfId="0" applyFont="1" applyFill="1"/>
    <xf numFmtId="165" fontId="2" fillId="0" borderId="0" xfId="0" applyNumberFormat="1" applyFont="1" applyFill="1"/>
    <xf numFmtId="168" fontId="0" fillId="0" borderId="0" xfId="0" applyNumberFormat="1" applyFill="1" applyBorder="1"/>
    <xf numFmtId="0" fontId="6" fillId="0" borderId="0" xfId="7" applyFont="1" applyFill="1" applyBorder="1"/>
    <xf numFmtId="0" fontId="8" fillId="0" borderId="0" xfId="7" applyFont="1" applyFill="1" applyBorder="1" applyAlignment="1">
      <alignment horizontal="left"/>
    </xf>
    <xf numFmtId="0" fontId="8" fillId="0" borderId="0" xfId="7" applyFont="1" applyFill="1" applyBorder="1" applyAlignment="1">
      <alignment horizontal="right"/>
    </xf>
    <xf numFmtId="0" fontId="20" fillId="0" borderId="0" xfId="7" applyFont="1" applyFill="1" applyBorder="1"/>
    <xf numFmtId="0" fontId="3" fillId="0" borderId="0" xfId="7" applyFont="1" applyFill="1" applyBorder="1" applyAlignment="1">
      <alignment horizontal="left" wrapText="1"/>
    </xf>
    <xf numFmtId="0" fontId="3" fillId="0" borderId="0" xfId="7" applyFont="1" applyFill="1" applyBorder="1" applyAlignment="1">
      <alignment horizontal="right" wrapText="1"/>
    </xf>
    <xf numFmtId="0" fontId="3" fillId="0" borderId="0" xfId="7" applyFont="1" applyFill="1" applyBorder="1" applyAlignment="1">
      <alignment wrapText="1"/>
    </xf>
    <xf numFmtId="0" fontId="10" fillId="0" borderId="0" xfId="7" applyFont="1" applyFill="1" applyBorder="1" applyAlignment="1">
      <alignment horizontal="left"/>
    </xf>
    <xf numFmtId="3" fontId="10" fillId="0" borderId="0" xfId="7" applyNumberFormat="1" applyFont="1" applyFill="1" applyBorder="1" applyAlignment="1">
      <alignment horizontal="right"/>
    </xf>
    <xf numFmtId="10" fontId="10" fillId="0" borderId="0" xfId="7" applyNumberFormat="1" applyFont="1" applyFill="1" applyBorder="1" applyAlignment="1">
      <alignment horizontal="right"/>
    </xf>
    <xf numFmtId="0" fontId="10" fillId="0" borderId="0" xfId="7" applyFont="1" applyBorder="1"/>
    <xf numFmtId="3" fontId="10" fillId="0" borderId="0" xfId="7" applyNumberFormat="1" applyFont="1" applyBorder="1"/>
    <xf numFmtId="0" fontId="10" fillId="0" borderId="0" xfId="7" applyFont="1" applyBorder="1" applyAlignment="1">
      <alignment horizontal="left" wrapText="1"/>
    </xf>
    <xf numFmtId="168" fontId="10" fillId="0" borderId="0" xfId="7" applyNumberFormat="1" applyFont="1" applyBorder="1" applyAlignment="1">
      <alignment horizontal="right"/>
    </xf>
    <xf numFmtId="0" fontId="10" fillId="0" borderId="0" xfId="7" applyFont="1" applyBorder="1" applyAlignment="1">
      <alignment horizontal="right"/>
    </xf>
    <xf numFmtId="0" fontId="20" fillId="0" borderId="0" xfId="7" applyFont="1" applyBorder="1" applyAlignment="1">
      <alignment horizontal="right"/>
    </xf>
    <xf numFmtId="0" fontId="20" fillId="0" borderId="0" xfId="7" applyFont="1" applyBorder="1"/>
    <xf numFmtId="0" fontId="20" fillId="0" borderId="0" xfId="7" applyFont="1" applyBorder="1" applyAlignment="1">
      <alignment horizontal="left" wrapText="1"/>
    </xf>
    <xf numFmtId="168" fontId="20" fillId="0" borderId="0" xfId="7" applyNumberFormat="1" applyFont="1" applyBorder="1" applyAlignment="1">
      <alignment horizontal="right"/>
    </xf>
    <xf numFmtId="10" fontId="20" fillId="0" borderId="0" xfId="7" applyNumberFormat="1" applyFont="1" applyBorder="1" applyAlignment="1">
      <alignment horizontal="right"/>
    </xf>
    <xf numFmtId="0" fontId="16" fillId="0" borderId="0" xfId="7" applyFont="1" applyFill="1" applyBorder="1" applyAlignment="1">
      <alignment horizontal="left"/>
    </xf>
    <xf numFmtId="0" fontId="16" fillId="0" borderId="0" xfId="7" applyFont="1" applyBorder="1" applyAlignment="1">
      <alignment horizontal="right"/>
    </xf>
    <xf numFmtId="0" fontId="16" fillId="0" borderId="0" xfId="7" applyFont="1" applyBorder="1"/>
    <xf numFmtId="0" fontId="16" fillId="0" borderId="0" xfId="7" applyFont="1" applyBorder="1" applyAlignment="1">
      <alignment horizontal="left"/>
    </xf>
    <xf numFmtId="0" fontId="20" fillId="0" borderId="0" xfId="7" applyFont="1" applyBorder="1" applyAlignment="1">
      <alignment horizontal="left"/>
    </xf>
    <xf numFmtId="0" fontId="9" fillId="0" borderId="0" xfId="11" applyFont="1" applyBorder="1"/>
    <xf numFmtId="0" fontId="5" fillId="4" borderId="0" xfId="11" applyFont="1" applyFill="1" applyBorder="1" applyAlignment="1">
      <alignment horizontal="left"/>
    </xf>
    <xf numFmtId="0" fontId="8" fillId="0" borderId="0" xfId="11" applyFont="1" applyBorder="1" applyAlignment="1">
      <alignment horizontal="left"/>
    </xf>
    <xf numFmtId="0" fontId="10" fillId="0" borderId="0" xfId="11" applyFont="1" applyBorder="1" applyAlignment="1">
      <alignment horizontal="center"/>
    </xf>
    <xf numFmtId="0" fontId="3" fillId="0" borderId="1" xfId="11" applyFont="1" applyBorder="1" applyAlignment="1">
      <alignment horizontal="right"/>
    </xf>
    <xf numFmtId="0" fontId="10" fillId="0" borderId="0" xfId="11" applyFont="1" applyBorder="1"/>
    <xf numFmtId="166" fontId="10" fillId="0" borderId="0" xfId="11" applyNumberFormat="1" applyFont="1" applyBorder="1" applyAlignment="1">
      <alignment horizontal="right"/>
    </xf>
    <xf numFmtId="166" fontId="10" fillId="0" borderId="1" xfId="11" applyNumberFormat="1" applyFont="1" applyBorder="1" applyAlignment="1">
      <alignment horizontal="right"/>
    </xf>
    <xf numFmtId="0" fontId="3" fillId="0" borderId="0" xfId="11" applyFont="1" applyBorder="1"/>
    <xf numFmtId="0" fontId="10" fillId="0" borderId="0" xfId="11" applyFont="1" applyBorder="1" applyAlignment="1">
      <alignment horizontal="right"/>
    </xf>
    <xf numFmtId="166" fontId="10" fillId="0" borderId="0" xfId="11" applyNumberFormat="1" applyFont="1" applyBorder="1"/>
    <xf numFmtId="167" fontId="10" fillId="0" borderId="0" xfId="11" applyNumberFormat="1" applyFont="1" applyBorder="1"/>
    <xf numFmtId="168" fontId="10" fillId="0" borderId="0" xfId="11" applyNumberFormat="1" applyFont="1" applyBorder="1" applyAlignment="1">
      <alignment horizontal="right"/>
    </xf>
    <xf numFmtId="10" fontId="10" fillId="0" borderId="1" xfId="11" applyNumberFormat="1" applyFont="1" applyBorder="1" applyAlignment="1">
      <alignment horizontal="right"/>
    </xf>
    <xf numFmtId="171" fontId="10" fillId="0" borderId="1" xfId="11" applyNumberFormat="1" applyFont="1" applyBorder="1" applyAlignment="1">
      <alignment horizontal="right"/>
    </xf>
    <xf numFmtId="168" fontId="10" fillId="0" borderId="1" xfId="11" applyNumberFormat="1" applyFont="1" applyBorder="1" applyAlignment="1">
      <alignment horizontal="right"/>
    </xf>
    <xf numFmtId="0" fontId="3" fillId="0" borderId="0" xfId="11" applyFont="1" applyBorder="1" applyAlignment="1">
      <alignment horizontal="left"/>
    </xf>
    <xf numFmtId="0" fontId="16" fillId="0" borderId="0" xfId="11" applyFont="1" applyBorder="1" applyAlignment="1">
      <alignment horizontal="center"/>
    </xf>
    <xf numFmtId="0" fontId="16" fillId="0" borderId="0" xfId="11" applyFont="1" applyBorder="1"/>
    <xf numFmtId="0" fontId="16" fillId="0" borderId="0" xfId="11" applyFont="1" applyBorder="1" applyAlignment="1">
      <alignment horizontal="right"/>
    </xf>
    <xf numFmtId="166" fontId="16" fillId="0" borderId="0" xfId="11" applyNumberFormat="1" applyFont="1" applyBorder="1" applyAlignment="1">
      <alignment horizontal="right"/>
    </xf>
    <xf numFmtId="0" fontId="20" fillId="0" borderId="0" xfId="11" applyFont="1" applyBorder="1"/>
    <xf numFmtId="0" fontId="20" fillId="0" borderId="0" xfId="11" applyFont="1" applyBorder="1" applyAlignment="1">
      <alignment horizontal="right"/>
    </xf>
    <xf numFmtId="0" fontId="5" fillId="0" borderId="0" xfId="11" applyFont="1"/>
    <xf numFmtId="0" fontId="6" fillId="0" borderId="0" xfId="11" applyFont="1" applyBorder="1"/>
    <xf numFmtId="0" fontId="10" fillId="0" borderId="0" xfId="11" applyFont="1"/>
    <xf numFmtId="0" fontId="10" fillId="0" borderId="0" xfId="11" applyFont="1" applyAlignment="1">
      <alignment horizontal="right"/>
    </xf>
    <xf numFmtId="0" fontId="3" fillId="0" borderId="1" xfId="11" applyFont="1" applyBorder="1" applyAlignment="1">
      <alignment horizontal="left" wrapText="1"/>
    </xf>
    <xf numFmtId="0" fontId="3" fillId="0" borderId="1" xfId="11" applyFont="1" applyBorder="1" applyAlignment="1">
      <alignment horizontal="right" wrapText="1"/>
    </xf>
    <xf numFmtId="0" fontId="3" fillId="0" borderId="0" xfId="11" applyFont="1" applyBorder="1" applyAlignment="1">
      <alignment wrapText="1"/>
    </xf>
    <xf numFmtId="0" fontId="10" fillId="0" borderId="0" xfId="11" applyFont="1" applyAlignment="1"/>
    <xf numFmtId="0" fontId="10" fillId="0" borderId="0" xfId="11" applyFont="1" applyAlignment="1">
      <alignment horizontal="right" wrapText="1"/>
    </xf>
    <xf numFmtId="0" fontId="10" fillId="0" borderId="0" xfId="11" applyFont="1" applyAlignment="1">
      <alignment wrapText="1"/>
    </xf>
    <xf numFmtId="0" fontId="36" fillId="0" borderId="0" xfId="11" applyFont="1"/>
    <xf numFmtId="10" fontId="36" fillId="0" borderId="0" xfId="11" applyNumberFormat="1" applyFont="1"/>
    <xf numFmtId="166" fontId="36" fillId="0" borderId="0" xfId="11" applyNumberFormat="1" applyFont="1"/>
    <xf numFmtId="0" fontId="31" fillId="0" borderId="0" xfId="0" applyFont="1" applyAlignment="1">
      <alignment vertical="center"/>
    </xf>
    <xf numFmtId="10" fontId="37" fillId="0" borderId="0" xfId="11" applyNumberFormat="1" applyFont="1"/>
    <xf numFmtId="0" fontId="37" fillId="0" borderId="0" xfId="11" applyFont="1"/>
    <xf numFmtId="0" fontId="20" fillId="0" borderId="0" xfId="11" applyFont="1"/>
    <xf numFmtId="0" fontId="20" fillId="0" borderId="0" xfId="11" applyFont="1" applyAlignment="1">
      <alignment horizontal="right"/>
    </xf>
    <xf numFmtId="164" fontId="17" fillId="0" borderId="0" xfId="1" applyNumberFormat="1" applyFont="1"/>
    <xf numFmtId="0" fontId="17" fillId="0" borderId="0" xfId="4" applyFont="1"/>
    <xf numFmtId="168" fontId="0" fillId="0" borderId="0" xfId="3" applyNumberFormat="1" applyFont="1"/>
    <xf numFmtId="0" fontId="14" fillId="0" borderId="0" xfId="0" applyFont="1" applyAlignment="1">
      <alignment horizontal="left" wrapText="1"/>
    </xf>
    <xf numFmtId="0" fontId="14" fillId="0" borderId="0" xfId="0" applyFont="1" applyAlignment="1">
      <alignment horizontal="left"/>
    </xf>
    <xf numFmtId="0" fontId="16" fillId="0" borderId="0" xfId="0" applyFont="1" applyFill="1" applyBorder="1" applyAlignment="1">
      <alignment horizontal="left" wrapText="1"/>
    </xf>
    <xf numFmtId="0" fontId="16" fillId="0" borderId="0" xfId="0" applyFont="1" applyFill="1" applyBorder="1" applyAlignment="1"/>
    <xf numFmtId="3" fontId="1" fillId="0" borderId="0" xfId="2" applyNumberFormat="1" applyFont="1"/>
    <xf numFmtId="3" fontId="0" fillId="0" borderId="0" xfId="0" applyNumberFormat="1" applyFont="1"/>
    <xf numFmtId="0" fontId="6" fillId="0" borderId="0" xfId="9" applyFont="1" applyBorder="1"/>
    <xf numFmtId="0" fontId="5" fillId="0" borderId="0" xfId="9" applyNumberFormat="1" applyFont="1" applyFill="1" applyBorder="1" applyAlignment="1">
      <alignment horizontal="left"/>
    </xf>
    <xf numFmtId="0" fontId="6" fillId="0" borderId="0" xfId="9" applyFont="1" applyFill="1" applyBorder="1"/>
    <xf numFmtId="0" fontId="24" fillId="0" borderId="0" xfId="0" applyFont="1" applyFill="1" applyBorder="1"/>
    <xf numFmtId="0" fontId="11" fillId="0" borderId="1" xfId="0" applyFont="1" applyFill="1" applyBorder="1" applyAlignment="1">
      <alignment horizontal="left"/>
    </xf>
    <xf numFmtId="165" fontId="11" fillId="0" borderId="1" xfId="2" applyNumberFormat="1" applyFont="1" applyFill="1" applyBorder="1" applyAlignment="1">
      <alignment horizontal="right" wrapText="1"/>
    </xf>
    <xf numFmtId="49" fontId="7" fillId="0" borderId="0" xfId="0" applyNumberFormat="1" applyFont="1"/>
    <xf numFmtId="165" fontId="7" fillId="0" borderId="0" xfId="2" applyNumberFormat="1" applyFont="1"/>
    <xf numFmtId="49" fontId="7" fillId="0" borderId="1" xfId="0" applyNumberFormat="1" applyFont="1" applyBorder="1"/>
    <xf numFmtId="165" fontId="7" fillId="0" borderId="1" xfId="2" applyNumberFormat="1" applyFont="1" applyBorder="1"/>
    <xf numFmtId="49" fontId="11" fillId="0" borderId="0" xfId="0" applyNumberFormat="1" applyFont="1"/>
    <xf numFmtId="165" fontId="11" fillId="0" borderId="0" xfId="2" applyNumberFormat="1" applyFont="1"/>
    <xf numFmtId="0" fontId="7" fillId="0" borderId="0" xfId="0" applyFont="1"/>
    <xf numFmtId="0" fontId="10" fillId="0" borderId="0" xfId="0" applyFont="1" applyAlignment="1"/>
    <xf numFmtId="165" fontId="7" fillId="0" borderId="0" xfId="2" applyNumberFormat="1" applyFont="1" applyBorder="1"/>
    <xf numFmtId="0" fontId="10" fillId="0" borderId="0" xfId="0" applyFont="1" applyAlignment="1">
      <alignment wrapText="1"/>
    </xf>
    <xf numFmtId="0" fontId="53" fillId="0" borderId="0" xfId="10" applyFont="1" applyAlignment="1">
      <alignment vertical="center"/>
    </xf>
    <xf numFmtId="165" fontId="25" fillId="3" borderId="0" xfId="2" applyNumberFormat="1" applyFont="1" applyFill="1" applyBorder="1" applyAlignment="1" applyProtection="1">
      <alignment horizontal="right" wrapText="1"/>
    </xf>
    <xf numFmtId="164" fontId="11" fillId="0" borderId="0" xfId="1" applyNumberFormat="1" applyFont="1" applyBorder="1"/>
    <xf numFmtId="0" fontId="7" fillId="0" borderId="0" xfId="0" applyFont="1" applyBorder="1" applyAlignment="1">
      <alignment horizontal="left"/>
    </xf>
    <xf numFmtId="0" fontId="7" fillId="0" borderId="0" xfId="0" applyFont="1" applyBorder="1"/>
    <xf numFmtId="164" fontId="7" fillId="0" borderId="0" xfId="1" applyNumberFormat="1" applyFont="1" applyBorder="1"/>
    <xf numFmtId="3" fontId="54" fillId="2" borderId="0" xfId="6" applyNumberFormat="1" applyFont="1" applyFill="1" applyBorder="1" applyAlignment="1" applyProtection="1">
      <alignment horizontal="left"/>
      <protection locked="0"/>
    </xf>
    <xf numFmtId="166" fontId="11" fillId="0" borderId="0" xfId="1" applyNumberFormat="1" applyFont="1" applyBorder="1"/>
    <xf numFmtId="169" fontId="54" fillId="2" borderId="0" xfId="6" applyFont="1" applyFill="1" applyBorder="1" applyAlignment="1" applyProtection="1">
      <alignment horizontal="left"/>
      <protection locked="0"/>
    </xf>
    <xf numFmtId="3" fontId="5" fillId="4" borderId="0" xfId="0" applyNumberFormat="1" applyFont="1" applyFill="1" applyBorder="1" applyAlignment="1">
      <alignment horizontal="left"/>
    </xf>
    <xf numFmtId="3" fontId="5" fillId="0" borderId="0" xfId="0" applyNumberFormat="1" applyFont="1" applyFill="1" applyBorder="1" applyAlignment="1">
      <alignment horizontal="left"/>
    </xf>
    <xf numFmtId="164" fontId="5" fillId="0" borderId="0" xfId="1" applyNumberFormat="1" applyFont="1" applyFill="1" applyBorder="1" applyAlignment="1">
      <alignment horizontal="left"/>
    </xf>
    <xf numFmtId="3" fontId="5" fillId="0" borderId="0" xfId="0" applyNumberFormat="1" applyFont="1" applyFill="1" applyBorder="1" applyAlignment="1">
      <alignment horizontal="center"/>
    </xf>
    <xf numFmtId="0" fontId="5" fillId="0" borderId="0" xfId="0" applyFont="1" applyFill="1" applyBorder="1"/>
    <xf numFmtId="0" fontId="3" fillId="0" borderId="0" xfId="0" applyFont="1" applyFill="1" applyBorder="1" applyAlignment="1">
      <alignment horizontal="center"/>
    </xf>
    <xf numFmtId="0" fontId="3" fillId="0" borderId="0" xfId="0" applyFont="1" applyFill="1" applyAlignment="1">
      <alignment horizontal="center"/>
    </xf>
    <xf numFmtId="0" fontId="10" fillId="0" borderId="0" xfId="0" applyFont="1" applyFill="1" applyAlignment="1">
      <alignment horizontal="center"/>
    </xf>
    <xf numFmtId="49" fontId="7" fillId="0" borderId="0" xfId="0" applyNumberFormat="1" applyFont="1" applyBorder="1"/>
    <xf numFmtId="166" fontId="7" fillId="0" borderId="0" xfId="1" applyNumberFormat="1" applyFont="1" applyBorder="1"/>
    <xf numFmtId="168" fontId="7" fillId="0" borderId="0" xfId="3" applyNumberFormat="1" applyFont="1" applyBorder="1"/>
    <xf numFmtId="168" fontId="10" fillId="0" borderId="0" xfId="1" quotePrefix="1" applyNumberFormat="1" applyFont="1" applyBorder="1"/>
    <xf numFmtId="165" fontId="7" fillId="0" borderId="0" xfId="0" applyNumberFormat="1" applyFont="1" applyBorder="1"/>
    <xf numFmtId="166" fontId="7" fillId="0" borderId="1" xfId="1" applyNumberFormat="1" applyFont="1" applyBorder="1"/>
    <xf numFmtId="168" fontId="7" fillId="0" borderId="1" xfId="3" applyNumberFormat="1" applyFont="1" applyBorder="1"/>
    <xf numFmtId="168" fontId="10" fillId="0" borderId="1" xfId="1" quotePrefix="1" applyNumberFormat="1" applyFont="1" applyBorder="1"/>
    <xf numFmtId="165" fontId="7" fillId="0" borderId="1" xfId="0" applyNumberFormat="1" applyFont="1" applyBorder="1"/>
    <xf numFmtId="166" fontId="11" fillId="0" borderId="0" xfId="0" applyNumberFormat="1" applyFont="1" applyBorder="1"/>
    <xf numFmtId="168" fontId="11" fillId="0" borderId="0" xfId="3" applyNumberFormat="1" applyFont="1" applyBorder="1"/>
    <xf numFmtId="168" fontId="3" fillId="0" borderId="0" xfId="1" quotePrefix="1" applyNumberFormat="1" applyFont="1" applyBorder="1"/>
    <xf numFmtId="0" fontId="11" fillId="0" borderId="0" xfId="0" applyFont="1"/>
    <xf numFmtId="167" fontId="7" fillId="0" borderId="0" xfId="1" applyNumberFormat="1" applyFont="1" applyBorder="1"/>
    <xf numFmtId="164" fontId="3" fillId="0" borderId="0" xfId="0" quotePrefix="1" applyNumberFormat="1" applyFont="1" applyBorder="1"/>
    <xf numFmtId="166" fontId="7" fillId="0" borderId="0" xfId="1" applyNumberFormat="1" applyFont="1" applyFill="1" applyBorder="1"/>
    <xf numFmtId="0" fontId="7" fillId="0" borderId="1" xfId="0" applyFont="1" applyBorder="1"/>
    <xf numFmtId="165" fontId="11" fillId="0" borderId="1" xfId="2" applyNumberFormat="1" applyFont="1" applyBorder="1"/>
    <xf numFmtId="164" fontId="7" fillId="0" borderId="1" xfId="1" applyNumberFormat="1" applyFont="1" applyBorder="1"/>
    <xf numFmtId="164" fontId="3" fillId="0" borderId="0" xfId="0" applyNumberFormat="1" applyFont="1" applyBorder="1"/>
    <xf numFmtId="9" fontId="11" fillId="0" borderId="0" xfId="3" applyFont="1" applyBorder="1"/>
    <xf numFmtId="166" fontId="0" fillId="0" borderId="0" xfId="0" applyNumberFormat="1"/>
    <xf numFmtId="166" fontId="7" fillId="0" borderId="0" xfId="1" applyNumberFormat="1" applyFont="1" applyBorder="1" applyAlignment="1">
      <alignment horizontal="right"/>
    </xf>
    <xf numFmtId="165" fontId="7" fillId="0" borderId="0" xfId="2" applyNumberFormat="1" applyFont="1" applyBorder="1" applyAlignment="1">
      <alignment horizontal="right"/>
    </xf>
    <xf numFmtId="166" fontId="10" fillId="0" borderId="0" xfId="2" applyNumberFormat="1" applyFont="1" applyFill="1" applyBorder="1" applyAlignment="1">
      <alignment horizontal="right"/>
    </xf>
    <xf numFmtId="165" fontId="7" fillId="0" borderId="0" xfId="2" applyNumberFormat="1" applyFont="1" applyFill="1" applyBorder="1" applyAlignment="1">
      <alignment horizontal="right"/>
    </xf>
    <xf numFmtId="165" fontId="24" fillId="0" borderId="0" xfId="2" applyNumberFormat="1" applyFont="1" applyBorder="1" applyAlignment="1">
      <alignment horizontal="right"/>
    </xf>
    <xf numFmtId="164" fontId="24" fillId="0" borderId="0" xfId="1" applyNumberFormat="1" applyFont="1" applyBorder="1" applyAlignment="1">
      <alignment horizontal="right"/>
    </xf>
    <xf numFmtId="0" fontId="20" fillId="0" borderId="0" xfId="4" applyFont="1" applyFill="1" applyBorder="1" applyAlignment="1">
      <alignment horizontal="left"/>
    </xf>
    <xf numFmtId="166" fontId="20" fillId="0" borderId="0" xfId="1" applyNumberFormat="1" applyFont="1" applyFill="1" applyBorder="1"/>
    <xf numFmtId="10" fontId="20" fillId="0" borderId="0" xfId="4" applyNumberFormat="1" applyFont="1" applyFill="1" applyBorder="1" applyAlignment="1">
      <alignment horizontal="center"/>
    </xf>
    <xf numFmtId="167" fontId="20" fillId="0" borderId="0" xfId="1" applyNumberFormat="1" applyFont="1" applyFill="1" applyBorder="1"/>
    <xf numFmtId="0" fontId="20" fillId="0" borderId="0" xfId="4" applyFont="1" applyFill="1" applyBorder="1"/>
    <xf numFmtId="166" fontId="11" fillId="0" borderId="0" xfId="1" applyNumberFormat="1" applyFont="1" applyFill="1" applyBorder="1"/>
    <xf numFmtId="167" fontId="7" fillId="0" borderId="0" xfId="0" applyNumberFormat="1" applyFont="1" applyFill="1" applyBorder="1"/>
    <xf numFmtId="167" fontId="7" fillId="0" borderId="0" xfId="1" applyNumberFormat="1" applyFont="1" applyFill="1" applyBorder="1"/>
    <xf numFmtId="167" fontId="10" fillId="0" borderId="0" xfId="0" quotePrefix="1" applyNumberFormat="1" applyFont="1" applyFill="1" applyBorder="1"/>
    <xf numFmtId="166" fontId="7" fillId="0" borderId="0" xfId="0" applyNumberFormat="1" applyFont="1" applyBorder="1"/>
    <xf numFmtId="166" fontId="7" fillId="0" borderId="0" xfId="0" applyNumberFormat="1" applyFont="1" applyFill="1" applyBorder="1"/>
    <xf numFmtId="166" fontId="11" fillId="0" borderId="0" xfId="0" applyNumberFormat="1" applyFont="1" applyFill="1" applyBorder="1"/>
    <xf numFmtId="0" fontId="11" fillId="0" borderId="0" xfId="0" applyFont="1" applyFill="1" applyBorder="1"/>
    <xf numFmtId="164" fontId="7" fillId="0" borderId="0" xfId="1" applyNumberFormat="1" applyFont="1" applyFill="1" applyBorder="1"/>
    <xf numFmtId="164" fontId="11" fillId="0" borderId="0" xfId="1" applyNumberFormat="1" applyFont="1" applyFill="1" applyBorder="1"/>
    <xf numFmtId="0" fontId="6" fillId="0" borderId="0" xfId="0" applyFont="1" applyBorder="1"/>
    <xf numFmtId="0" fontId="19" fillId="0" borderId="0" xfId="0" applyFont="1" applyFill="1" applyBorder="1" applyAlignment="1">
      <alignment horizontal="left"/>
    </xf>
    <xf numFmtId="164" fontId="3" fillId="0" borderId="0" xfId="1" applyNumberFormat="1" applyFont="1" applyFill="1" applyBorder="1" applyAlignment="1">
      <alignment horizontal="right" wrapText="1"/>
    </xf>
    <xf numFmtId="168" fontId="3" fillId="0" borderId="0" xfId="1" quotePrefix="1" applyNumberFormat="1" applyFont="1" applyFill="1" applyBorder="1" applyAlignment="1">
      <alignment horizontal="right" wrapText="1"/>
    </xf>
    <xf numFmtId="168" fontId="7" fillId="0" borderId="0" xfId="3" applyNumberFormat="1" applyFont="1" applyBorder="1" applyAlignment="1">
      <alignment horizontal="right"/>
    </xf>
    <xf numFmtId="170" fontId="7" fillId="0" borderId="0" xfId="0" applyNumberFormat="1" applyFont="1" applyBorder="1" applyAlignment="1">
      <alignment horizontal="right"/>
    </xf>
    <xf numFmtId="170" fontId="10" fillId="0" borderId="0" xfId="1" quotePrefix="1" applyNumberFormat="1" applyFont="1" applyBorder="1" applyAlignment="1">
      <alignment horizontal="right"/>
    </xf>
    <xf numFmtId="166" fontId="7" fillId="0" borderId="1" xfId="1" applyNumberFormat="1" applyFont="1" applyBorder="1" applyAlignment="1">
      <alignment horizontal="right"/>
    </xf>
    <xf numFmtId="168" fontId="7" fillId="0" borderId="1" xfId="3" applyNumberFormat="1" applyFont="1" applyBorder="1" applyAlignment="1">
      <alignment horizontal="right"/>
    </xf>
    <xf numFmtId="170" fontId="7" fillId="0" borderId="1" xfId="0" applyNumberFormat="1" applyFont="1" applyBorder="1" applyAlignment="1">
      <alignment horizontal="right"/>
    </xf>
    <xf numFmtId="0" fontId="3" fillId="0" borderId="0" xfId="4" applyFont="1" applyBorder="1" applyAlignment="1">
      <alignment horizontal="left"/>
    </xf>
    <xf numFmtId="166" fontId="11" fillId="0" borderId="0" xfId="1" applyNumberFormat="1" applyFont="1" applyBorder="1" applyAlignment="1">
      <alignment horizontal="right"/>
    </xf>
    <xf numFmtId="168" fontId="11" fillId="0" borderId="0" xfId="3" applyNumberFormat="1" applyFont="1" applyBorder="1" applyAlignment="1">
      <alignment horizontal="right"/>
    </xf>
    <xf numFmtId="170" fontId="11" fillId="0" borderId="0" xfId="0" applyNumberFormat="1" applyFont="1" applyBorder="1" applyAlignment="1">
      <alignment horizontal="right"/>
    </xf>
    <xf numFmtId="10" fontId="7" fillId="0" borderId="0" xfId="3" applyNumberFormat="1" applyFont="1" applyBorder="1" applyAlignment="1">
      <alignment horizontal="right"/>
    </xf>
    <xf numFmtId="166" fontId="7" fillId="0" borderId="0" xfId="1" applyNumberFormat="1" applyFont="1" applyFill="1" applyBorder="1" applyAlignment="1">
      <alignment horizontal="right"/>
    </xf>
    <xf numFmtId="49" fontId="11" fillId="0" borderId="0" xfId="0" applyNumberFormat="1" applyFont="1" applyBorder="1"/>
    <xf numFmtId="164" fontId="7" fillId="0" borderId="0" xfId="1" applyNumberFormat="1" applyFont="1" applyBorder="1" applyAlignment="1">
      <alignment horizontal="right"/>
    </xf>
    <xf numFmtId="9" fontId="7" fillId="0" borderId="0" xfId="3" applyFont="1" applyBorder="1" applyAlignment="1">
      <alignment horizontal="right"/>
    </xf>
    <xf numFmtId="164" fontId="7" fillId="0" borderId="0" xfId="0" applyNumberFormat="1" applyFont="1" applyBorder="1" applyAlignment="1">
      <alignment horizontal="right"/>
    </xf>
    <xf numFmtId="0" fontId="7" fillId="0" borderId="0" xfId="0" applyFont="1" applyBorder="1" applyAlignment="1">
      <alignment horizontal="right"/>
    </xf>
    <xf numFmtId="9" fontId="11" fillId="0" borderId="0" xfId="3" applyFont="1" applyBorder="1" applyAlignment="1">
      <alignment horizontal="right"/>
    </xf>
    <xf numFmtId="0" fontId="11" fillId="0" borderId="0" xfId="0" applyFont="1" applyBorder="1" applyAlignment="1">
      <alignment horizontal="right"/>
    </xf>
    <xf numFmtId="3" fontId="3" fillId="0" borderId="0" xfId="0" applyNumberFormat="1" applyFont="1" applyFill="1" applyBorder="1" applyAlignment="1">
      <alignment horizontal="left"/>
    </xf>
    <xf numFmtId="166" fontId="11" fillId="0" borderId="0" xfId="3" applyNumberFormat="1" applyFont="1" applyBorder="1" applyAlignment="1">
      <alignment horizontal="right"/>
    </xf>
    <xf numFmtId="166" fontId="7" fillId="0" borderId="0" xfId="0" applyNumberFormat="1" applyFont="1" applyBorder="1" applyAlignment="1">
      <alignment horizontal="right"/>
    </xf>
    <xf numFmtId="166" fontId="11" fillId="0" borderId="0" xfId="0" applyNumberFormat="1" applyFont="1" applyBorder="1" applyAlignment="1">
      <alignment horizontal="right"/>
    </xf>
    <xf numFmtId="0" fontId="16" fillId="0" borderId="0" xfId="0" applyFont="1" applyBorder="1" applyAlignment="1">
      <alignment horizontal="left"/>
    </xf>
    <xf numFmtId="164" fontId="16" fillId="0" borderId="0" xfId="1" applyNumberFormat="1" applyFont="1" applyBorder="1" applyAlignment="1">
      <alignment horizontal="right"/>
    </xf>
    <xf numFmtId="9" fontId="16" fillId="0" borderId="0" xfId="3" applyFont="1" applyBorder="1" applyAlignment="1">
      <alignment horizontal="right"/>
    </xf>
    <xf numFmtId="0" fontId="26" fillId="0" borderId="0" xfId="0" applyFont="1" applyBorder="1" applyAlignment="1">
      <alignment horizontal="right"/>
    </xf>
    <xf numFmtId="9" fontId="26" fillId="0" borderId="0" xfId="3" applyFont="1" applyBorder="1" applyAlignment="1">
      <alignment horizontal="right"/>
    </xf>
    <xf numFmtId="165" fontId="26" fillId="0" borderId="0" xfId="2" applyNumberFormat="1" applyFont="1" applyBorder="1" applyAlignment="1">
      <alignment horizontal="right"/>
    </xf>
    <xf numFmtId="164" fontId="26" fillId="0" borderId="0" xfId="1" applyNumberFormat="1" applyFont="1" applyBorder="1" applyAlignment="1">
      <alignment horizontal="right"/>
    </xf>
    <xf numFmtId="0" fontId="24" fillId="0" borderId="0" xfId="0" applyFont="1" applyBorder="1" applyAlignment="1">
      <alignment horizontal="right"/>
    </xf>
    <xf numFmtId="9" fontId="24" fillId="0" borderId="0" xfId="3" applyFont="1" applyBorder="1" applyAlignment="1">
      <alignment horizontal="right"/>
    </xf>
    <xf numFmtId="168" fontId="7" fillId="0" borderId="0" xfId="1" applyNumberFormat="1" applyFont="1" applyBorder="1" applyAlignment="1">
      <alignment horizontal="right"/>
    </xf>
    <xf numFmtId="168" fontId="7" fillId="0" borderId="0" xfId="0" applyNumberFormat="1" applyFont="1" applyBorder="1" applyAlignment="1">
      <alignment horizontal="right"/>
    </xf>
    <xf numFmtId="168" fontId="10" fillId="0" borderId="0" xfId="0" quotePrefix="1" applyNumberFormat="1" applyFont="1" applyBorder="1" applyAlignment="1">
      <alignment horizontal="right"/>
    </xf>
    <xf numFmtId="168" fontId="7" fillId="0" borderId="1" xfId="1" applyNumberFormat="1" applyFont="1" applyBorder="1" applyAlignment="1">
      <alignment horizontal="right"/>
    </xf>
    <xf numFmtId="168" fontId="7" fillId="0" borderId="1" xfId="0" applyNumberFormat="1" applyFont="1" applyBorder="1" applyAlignment="1">
      <alignment horizontal="right"/>
    </xf>
    <xf numFmtId="168" fontId="11" fillId="0" borderId="1" xfId="0" applyNumberFormat="1" applyFont="1" applyBorder="1" applyAlignment="1">
      <alignment horizontal="right"/>
    </xf>
    <xf numFmtId="4" fontId="3" fillId="0" borderId="0" xfId="0" applyNumberFormat="1" applyFont="1" applyBorder="1" applyAlignment="1">
      <alignment horizontal="left"/>
    </xf>
    <xf numFmtId="168" fontId="11" fillId="0" borderId="0" xfId="1" applyNumberFormat="1" applyFont="1" applyBorder="1" applyAlignment="1">
      <alignment horizontal="right"/>
    </xf>
    <xf numFmtId="168" fontId="11" fillId="0" borderId="0" xfId="0" applyNumberFormat="1" applyFont="1" applyBorder="1" applyAlignment="1">
      <alignment horizontal="right"/>
    </xf>
    <xf numFmtId="172" fontId="11" fillId="0" borderId="0" xfId="0" applyNumberFormat="1" applyFont="1" applyBorder="1"/>
    <xf numFmtId="168" fontId="3" fillId="0" borderId="0" xfId="0" applyNumberFormat="1" applyFont="1" applyBorder="1"/>
    <xf numFmtId="172" fontId="7" fillId="0" borderId="0" xfId="0" applyNumberFormat="1" applyFont="1" applyBorder="1"/>
    <xf numFmtId="168" fontId="10" fillId="0" borderId="0" xfId="0" applyNumberFormat="1" applyFont="1" applyBorder="1"/>
    <xf numFmtId="164" fontId="11" fillId="0" borderId="0" xfId="0" applyNumberFormat="1" applyFont="1" applyBorder="1" applyAlignment="1">
      <alignment horizontal="right"/>
    </xf>
    <xf numFmtId="165" fontId="11" fillId="0" borderId="0" xfId="0" applyNumberFormat="1" applyFont="1" applyBorder="1" applyAlignment="1">
      <alignment horizontal="right"/>
    </xf>
    <xf numFmtId="168" fontId="16" fillId="0" borderId="0" xfId="0" applyNumberFormat="1" applyFont="1" applyBorder="1" applyAlignment="1">
      <alignment horizontal="right"/>
    </xf>
    <xf numFmtId="164" fontId="26" fillId="0" borderId="0" xfId="0" applyNumberFormat="1" applyFont="1" applyBorder="1" applyAlignment="1">
      <alignment horizontal="right"/>
    </xf>
    <xf numFmtId="168" fontId="26" fillId="0" borderId="0" xfId="0" applyNumberFormat="1" applyFont="1" applyBorder="1" applyAlignment="1">
      <alignment horizontal="right"/>
    </xf>
    <xf numFmtId="168" fontId="26" fillId="0" borderId="0" xfId="1" applyNumberFormat="1" applyFont="1" applyBorder="1" applyAlignment="1">
      <alignment horizontal="right"/>
    </xf>
    <xf numFmtId="170" fontId="7" fillId="0" borderId="0" xfId="1" applyNumberFormat="1" applyFont="1" applyBorder="1"/>
    <xf numFmtId="170" fontId="7" fillId="0" borderId="1" xfId="1" applyNumberFormat="1" applyFont="1" applyBorder="1"/>
    <xf numFmtId="170" fontId="11" fillId="0" borderId="0" xfId="1" applyNumberFormat="1" applyFont="1" applyBorder="1"/>
    <xf numFmtId="170" fontId="11" fillId="0" borderId="0" xfId="3" applyNumberFormat="1" applyFont="1" applyBorder="1"/>
    <xf numFmtId="172" fontId="11" fillId="0" borderId="0" xfId="1" applyNumberFormat="1" applyFont="1" applyBorder="1"/>
    <xf numFmtId="164" fontId="7" fillId="0" borderId="0" xfId="0" applyNumberFormat="1" applyFont="1" applyBorder="1"/>
    <xf numFmtId="168" fontId="16" fillId="0" borderId="0" xfId="0" applyNumberFormat="1" applyFont="1" applyFill="1" applyBorder="1" applyAlignment="1">
      <alignment horizontal="center"/>
    </xf>
    <xf numFmtId="164" fontId="26" fillId="0" borderId="0" xfId="0" applyNumberFormat="1" applyFont="1" applyFill="1" applyBorder="1"/>
    <xf numFmtId="4" fontId="5" fillId="0" borderId="0" xfId="8" applyNumberFormat="1" applyFont="1" applyFill="1" applyBorder="1" applyAlignment="1">
      <alignment horizontal="left"/>
    </xf>
    <xf numFmtId="0" fontId="5" fillId="0" borderId="0" xfId="8" applyFont="1" applyFill="1" applyBorder="1" applyAlignment="1">
      <alignment horizontal="left"/>
    </xf>
    <xf numFmtId="44" fontId="1" fillId="0" borderId="0" xfId="1" applyFont="1" applyFill="1"/>
    <xf numFmtId="166" fontId="1" fillId="0" borderId="0" xfId="1" applyNumberFormat="1" applyFont="1" applyFill="1"/>
    <xf numFmtId="166" fontId="1" fillId="0" borderId="0" xfId="1" applyNumberFormat="1" applyFont="1"/>
    <xf numFmtId="166" fontId="1" fillId="0" borderId="1" xfId="1" applyNumberFormat="1" applyFont="1" applyFill="1" applyBorder="1"/>
    <xf numFmtId="166" fontId="2" fillId="0" borderId="0" xfId="1" applyNumberFormat="1" applyFont="1" applyFill="1"/>
    <xf numFmtId="0" fontId="6" fillId="4" borderId="0" xfId="4" applyFont="1" applyFill="1" applyBorder="1" applyAlignment="1">
      <alignment horizontal="left"/>
    </xf>
    <xf numFmtId="166" fontId="3" fillId="0" borderId="0" xfId="0" applyNumberFormat="1" applyFont="1" applyBorder="1"/>
    <xf numFmtId="44" fontId="2" fillId="0" borderId="0" xfId="0" applyNumberFormat="1" applyFont="1"/>
    <xf numFmtId="0" fontId="19" fillId="2" borderId="0" xfId="0" applyFont="1" applyFill="1" applyBorder="1" applyAlignment="1"/>
    <xf numFmtId="0" fontId="19" fillId="2" borderId="0" xfId="0" applyFont="1" applyFill="1"/>
    <xf numFmtId="165" fontId="19" fillId="0" borderId="0" xfId="1" applyNumberFormat="1" applyFont="1" applyFill="1" applyBorder="1" applyAlignment="1">
      <alignment horizontal="left"/>
    </xf>
    <xf numFmtId="165" fontId="19" fillId="0" borderId="0" xfId="1" applyNumberFormat="1" applyFont="1" applyFill="1" applyBorder="1" applyAlignment="1">
      <alignment horizontal="right"/>
    </xf>
    <xf numFmtId="0" fontId="19" fillId="0" borderId="0" xfId="0" applyFont="1" applyFill="1" applyBorder="1" applyAlignment="1"/>
    <xf numFmtId="0" fontId="19" fillId="0" borderId="0" xfId="0" applyFont="1" applyFill="1"/>
    <xf numFmtId="0" fontId="22" fillId="3" borderId="0" xfId="0" applyNumberFormat="1" applyFont="1" applyFill="1" applyBorder="1" applyAlignment="1" applyProtection="1">
      <alignment horizontal="left" wrapText="1"/>
    </xf>
    <xf numFmtId="165" fontId="23" fillId="0" borderId="0" xfId="2" applyNumberFormat="1" applyFont="1" applyBorder="1" applyAlignment="1">
      <alignment horizontal="right"/>
    </xf>
    <xf numFmtId="164" fontId="23" fillId="0" borderId="0" xfId="1" applyNumberFormat="1" applyFont="1" applyBorder="1" applyAlignment="1">
      <alignment horizontal="right"/>
    </xf>
    <xf numFmtId="169" fontId="25" fillId="0" borderId="1" xfId="6" applyFont="1" applyFill="1" applyBorder="1" applyAlignment="1" applyProtection="1">
      <alignment horizontal="left" wrapText="1"/>
      <protection locked="0"/>
    </xf>
    <xf numFmtId="3" fontId="25" fillId="0" borderId="1" xfId="6" applyNumberFormat="1" applyFont="1" applyFill="1" applyBorder="1" applyAlignment="1" applyProtection="1">
      <alignment horizontal="right" wrapText="1"/>
      <protection locked="0"/>
    </xf>
    <xf numFmtId="165" fontId="25" fillId="0" borderId="1" xfId="6" applyNumberFormat="1" applyFont="1" applyFill="1" applyBorder="1" applyAlignment="1" applyProtection="1">
      <alignment horizontal="right" wrapText="1"/>
      <protection locked="0"/>
    </xf>
    <xf numFmtId="44" fontId="25" fillId="0" borderId="1" xfId="1" applyFont="1" applyFill="1" applyBorder="1" applyAlignment="1" applyProtection="1">
      <alignment horizontal="right" wrapText="1"/>
      <protection locked="0"/>
    </xf>
    <xf numFmtId="164" fontId="25" fillId="0" borderId="1" xfId="1" applyNumberFormat="1" applyFont="1" applyFill="1" applyBorder="1" applyAlignment="1" applyProtection="1">
      <alignment horizontal="right" wrapText="1"/>
      <protection locked="0"/>
    </xf>
    <xf numFmtId="165" fontId="25" fillId="0" borderId="1" xfId="2" applyNumberFormat="1" applyFont="1" applyFill="1" applyBorder="1" applyAlignment="1" applyProtection="1">
      <alignment horizontal="right" wrapText="1"/>
      <protection locked="0"/>
    </xf>
    <xf numFmtId="0" fontId="11" fillId="0" borderId="1" xfId="0" applyFont="1" applyFill="1" applyBorder="1" applyAlignment="1">
      <alignment horizontal="right" wrapText="1"/>
    </xf>
    <xf numFmtId="0" fontId="55" fillId="3" borderId="0" xfId="0" applyNumberFormat="1" applyFont="1" applyFill="1" applyBorder="1" applyAlignment="1" applyProtection="1">
      <alignment horizontal="left" wrapText="1"/>
    </xf>
    <xf numFmtId="165" fontId="55" fillId="3" borderId="0" xfId="2" applyNumberFormat="1" applyFont="1" applyFill="1" applyBorder="1" applyAlignment="1" applyProtection="1">
      <alignment horizontal="right" wrapText="1"/>
    </xf>
    <xf numFmtId="3" fontId="55" fillId="3" borderId="0" xfId="2" applyNumberFormat="1" applyFont="1" applyFill="1" applyBorder="1" applyAlignment="1" applyProtection="1">
      <alignment horizontal="right" wrapText="1"/>
    </xf>
    <xf numFmtId="3" fontId="55" fillId="0" borderId="0" xfId="2" applyNumberFormat="1" applyFont="1" applyFill="1" applyBorder="1" applyAlignment="1" applyProtection="1">
      <alignment horizontal="right" wrapText="1"/>
    </xf>
    <xf numFmtId="3" fontId="7" fillId="0" borderId="0" xfId="2" applyNumberFormat="1" applyFont="1" applyFill="1" applyBorder="1"/>
    <xf numFmtId="165" fontId="32" fillId="0" borderId="0" xfId="0" applyNumberFormat="1" applyFont="1"/>
    <xf numFmtId="10" fontId="11" fillId="0" borderId="0" xfId="3" applyNumberFormat="1" applyFont="1" applyBorder="1"/>
    <xf numFmtId="10" fontId="7" fillId="0" borderId="0" xfId="3" applyNumberFormat="1" applyFont="1" applyBorder="1"/>
    <xf numFmtId="44" fontId="56" fillId="2" borderId="0" xfId="0" applyNumberFormat="1" applyFont="1" applyFill="1" applyBorder="1" applyAlignment="1">
      <alignment horizontal="left" wrapText="1"/>
    </xf>
    <xf numFmtId="0" fontId="56" fillId="2" borderId="0" xfId="0" applyFont="1" applyFill="1" applyBorder="1" applyAlignment="1">
      <alignment horizontal="left" wrapText="1"/>
    </xf>
    <xf numFmtId="169" fontId="54" fillId="2" borderId="0" xfId="6" applyFont="1" applyFill="1" applyBorder="1" applyAlignment="1" applyProtection="1">
      <alignment horizontal="right"/>
      <protection locked="0"/>
    </xf>
    <xf numFmtId="3" fontId="57" fillId="2" borderId="0" xfId="6" applyNumberFormat="1" applyFont="1" applyFill="1" applyBorder="1" applyAlignment="1" applyProtection="1">
      <alignment horizontal="left"/>
      <protection locked="0"/>
    </xf>
    <xf numFmtId="165" fontId="54" fillId="2" borderId="0" xfId="6" applyNumberFormat="1" applyFont="1" applyFill="1" applyBorder="1"/>
    <xf numFmtId="166" fontId="57" fillId="2" borderId="0" xfId="1" applyNumberFormat="1" applyFont="1" applyFill="1" applyBorder="1"/>
    <xf numFmtId="164" fontId="56" fillId="2" borderId="0" xfId="0" applyNumberFormat="1" applyFont="1" applyFill="1" applyBorder="1" applyAlignment="1">
      <alignment horizontal="left" wrapText="1"/>
    </xf>
    <xf numFmtId="9" fontId="7" fillId="0" borderId="0" xfId="3" applyFont="1" applyBorder="1"/>
    <xf numFmtId="0" fontId="58" fillId="0" borderId="0" xfId="0" applyFont="1"/>
    <xf numFmtId="0" fontId="59" fillId="0" borderId="0" xfId="7" applyFont="1" applyFill="1"/>
    <xf numFmtId="0" fontId="60" fillId="0" borderId="0" xfId="0" applyFont="1"/>
    <xf numFmtId="164" fontId="60" fillId="0" borderId="0" xfId="1" applyNumberFormat="1" applyFont="1"/>
    <xf numFmtId="0" fontId="3" fillId="2" borderId="0" xfId="0" applyFont="1" applyFill="1" applyBorder="1" applyAlignment="1">
      <alignment horizontal="left" wrapText="1"/>
    </xf>
    <xf numFmtId="0" fontId="3" fillId="2" borderId="0" xfId="0" applyFont="1" applyFill="1" applyBorder="1" applyAlignment="1">
      <alignment horizontal="center"/>
    </xf>
    <xf numFmtId="0" fontId="3" fillId="2" borderId="0" xfId="0" applyFont="1" applyFill="1" applyBorder="1"/>
    <xf numFmtId="0" fontId="7" fillId="0" borderId="0" xfId="0" applyFont="1" applyFill="1" applyBorder="1" applyAlignment="1">
      <alignment horizontal="left"/>
    </xf>
    <xf numFmtId="165" fontId="7" fillId="0" borderId="0" xfId="2" applyNumberFormat="1" applyFont="1" applyFill="1" applyBorder="1"/>
    <xf numFmtId="9" fontId="7" fillId="0" borderId="0" xfId="3" applyFont="1" applyFill="1" applyBorder="1"/>
    <xf numFmtId="0" fontId="7" fillId="0" borderId="0" xfId="0" applyFont="1" applyFill="1"/>
    <xf numFmtId="164" fontId="7" fillId="0" borderId="0" xfId="1" applyNumberFormat="1" applyFont="1"/>
    <xf numFmtId="10" fontId="7" fillId="0" borderId="0" xfId="3" applyNumberFormat="1" applyFont="1"/>
    <xf numFmtId="0" fontId="7" fillId="0" borderId="0" xfId="0" applyFont="1" applyAlignment="1">
      <alignment horizontal="left"/>
    </xf>
    <xf numFmtId="0" fontId="11" fillId="0" borderId="0" xfId="0" applyFont="1" applyAlignment="1">
      <alignment horizontal="left"/>
    </xf>
    <xf numFmtId="0" fontId="3" fillId="0" borderId="0" xfId="7" applyFont="1" applyBorder="1" applyAlignment="1">
      <alignment horizontal="left"/>
    </xf>
    <xf numFmtId="0" fontId="3" fillId="0" borderId="0" xfId="0" applyNumberFormat="1" applyFont="1" applyBorder="1" applyAlignment="1">
      <alignment horizontal="left" indent="1"/>
    </xf>
    <xf numFmtId="0" fontId="5" fillId="4" borderId="0" xfId="9" applyNumberFormat="1" applyFont="1" applyFill="1" applyBorder="1" applyAlignment="1">
      <alignment horizontal="left"/>
    </xf>
    <xf numFmtId="0" fontId="5" fillId="4" borderId="0" xfId="11" applyFont="1" applyFill="1" applyBorder="1" applyAlignment="1">
      <alignment horizontal="left"/>
    </xf>
    <xf numFmtId="0" fontId="6" fillId="4" borderId="0" xfId="9" applyFont="1" applyFill="1" applyBorder="1" applyAlignment="1">
      <alignment horizontal="left"/>
    </xf>
    <xf numFmtId="0" fontId="5" fillId="4" borderId="0" xfId="11" applyFont="1" applyFill="1" applyAlignment="1">
      <alignment horizontal="left"/>
    </xf>
    <xf numFmtId="49" fontId="5" fillId="4" borderId="0" xfId="7" applyNumberFormat="1" applyFont="1" applyFill="1" applyBorder="1" applyAlignment="1">
      <alignment horizontal="left"/>
    </xf>
    <xf numFmtId="49" fontId="5" fillId="4" borderId="0" xfId="1" applyNumberFormat="1" applyFont="1" applyFill="1" applyBorder="1" applyAlignment="1">
      <alignment horizontal="left"/>
    </xf>
    <xf numFmtId="0" fontId="29" fillId="4" borderId="0" xfId="0" applyFont="1" applyFill="1" applyBorder="1" applyAlignment="1">
      <alignment horizontal="left"/>
    </xf>
    <xf numFmtId="3" fontId="5" fillId="4" borderId="0" xfId="0" applyNumberFormat="1" applyFont="1" applyFill="1" applyBorder="1" applyAlignment="1">
      <alignment horizontal="left"/>
    </xf>
    <xf numFmtId="0" fontId="14" fillId="0" borderId="0" xfId="0" applyFont="1" applyAlignment="1">
      <alignment horizontal="left" wrapText="1"/>
    </xf>
    <xf numFmtId="0" fontId="14" fillId="0" borderId="0" xfId="0" applyFont="1" applyAlignment="1">
      <alignment horizontal="left"/>
    </xf>
    <xf numFmtId="0" fontId="5" fillId="4" borderId="0" xfId="0" applyFont="1" applyFill="1" applyBorder="1" applyAlignment="1">
      <alignment horizontal="left"/>
    </xf>
    <xf numFmtId="0" fontId="6" fillId="4" borderId="0" xfId="0" applyFont="1" applyFill="1" applyBorder="1" applyAlignment="1">
      <alignment horizontal="left"/>
    </xf>
    <xf numFmtId="0" fontId="16" fillId="0" borderId="0" xfId="0" applyFont="1" applyFill="1" applyBorder="1" applyAlignment="1">
      <alignment horizontal="left" wrapText="1"/>
    </xf>
    <xf numFmtId="0" fontId="16" fillId="0" borderId="0" xfId="0" applyFont="1" applyFill="1" applyBorder="1" applyAlignment="1"/>
    <xf numFmtId="3" fontId="5" fillId="4" borderId="0" xfId="4" applyNumberFormat="1" applyFont="1" applyFill="1" applyBorder="1" applyAlignment="1">
      <alignment horizontal="left"/>
    </xf>
    <xf numFmtId="168" fontId="5" fillId="4" borderId="0" xfId="0" applyNumberFormat="1" applyFont="1" applyFill="1" applyBorder="1" applyAlignment="1">
      <alignment horizontal="left"/>
    </xf>
    <xf numFmtId="4" fontId="5" fillId="4" borderId="0" xfId="8" applyNumberFormat="1" applyFont="1" applyFill="1" applyBorder="1" applyAlignment="1">
      <alignment horizontal="left"/>
    </xf>
    <xf numFmtId="0" fontId="5" fillId="4" borderId="0" xfId="8" applyFont="1" applyFill="1" applyBorder="1" applyAlignment="1">
      <alignment horizontal="left"/>
    </xf>
  </cellXfs>
  <cellStyles count="53">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7"/>
    <cellStyle name="60% - Accent2 2" xfId="48"/>
    <cellStyle name="60% - Accent3 2" xfId="49"/>
    <cellStyle name="60% - Accent4 2" xfId="50"/>
    <cellStyle name="60% - Accent5 2" xfId="51"/>
    <cellStyle name="60% - Accent6 2" xfId="52"/>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8" builtinId="27" customBuiltin="1"/>
    <cellStyle name="Calculation" xfId="21" builtinId="22" customBuiltin="1"/>
    <cellStyle name="Check Cell" xfId="23" builtinId="23" customBuiltin="1"/>
    <cellStyle name="Comma" xfId="2" builtinId="3"/>
    <cellStyle name="Currency" xfId="1" builtinId="4"/>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10" builtinId="8"/>
    <cellStyle name="Input" xfId="19" builtinId="20" customBuiltin="1"/>
    <cellStyle name="Linked Cell" xfId="22" builtinId="24" customBuiltin="1"/>
    <cellStyle name="Neutral 2" xfId="46"/>
    <cellStyle name="Normal" xfId="0" builtinId="0"/>
    <cellStyle name="Normal_94TAB9" xfId="6"/>
    <cellStyle name="Normal_Copy of SFY2010 Table10" xfId="5"/>
    <cellStyle name="Normal_SFY13_Table6_Annual Report (2)" xfId="7"/>
    <cellStyle name="Normal_SFY13_Tables4_5 Annual Report (3)" xfId="11"/>
    <cellStyle name="Normal_Table 10 (11) for SFY 2012" xfId="4"/>
    <cellStyle name="Normal_Table 13 (14) for SFY 2012" xfId="8"/>
    <cellStyle name="Normal_Table 3 for SFY 2012" xfId="9"/>
    <cellStyle name="Note" xfId="25" builtinId="10" customBuiltin="1"/>
    <cellStyle name="Output" xfId="20" builtinId="21" customBuiltin="1"/>
    <cellStyle name="Percent" xfId="3" builtinId="5"/>
    <cellStyle name="Title" xfId="12"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tabSelected="1" workbookViewId="0">
      <pane ySplit="6" topLeftCell="A7" activePane="bottomLeft" state="frozen"/>
      <selection pane="bottomLeft" activeCell="A7" sqref="A7"/>
    </sheetView>
  </sheetViews>
  <sheetFormatPr defaultRowHeight="16.5" x14ac:dyDescent="0.3"/>
  <cols>
    <col min="1" max="1" width="62" style="76" customWidth="1"/>
    <col min="2" max="2" width="16.28515625" style="87" customWidth="1"/>
    <col min="3" max="3" width="17.140625" style="87" customWidth="1"/>
    <col min="4" max="16384" width="9.140625" style="76"/>
  </cols>
  <sheetData>
    <row r="1" spans="1:3" s="247" customFormat="1" ht="18" x14ac:dyDescent="0.35">
      <c r="A1" s="445" t="s">
        <v>296</v>
      </c>
      <c r="B1" s="445"/>
      <c r="C1" s="445"/>
    </row>
    <row r="2" spans="1:3" s="247" customFormat="1" ht="18" x14ac:dyDescent="0.35">
      <c r="A2" s="445" t="s">
        <v>3</v>
      </c>
      <c r="B2" s="445"/>
      <c r="C2" s="445"/>
    </row>
    <row r="3" spans="1:3" s="247" customFormat="1" ht="18" x14ac:dyDescent="0.35">
      <c r="A3" s="445" t="s">
        <v>393</v>
      </c>
      <c r="B3" s="445"/>
      <c r="C3" s="445"/>
    </row>
    <row r="4" spans="1:3" s="247" customFormat="1" ht="18" x14ac:dyDescent="0.35">
      <c r="A4" s="445" t="s">
        <v>297</v>
      </c>
      <c r="B4" s="445"/>
      <c r="C4" s="445"/>
    </row>
    <row r="5" spans="1:3" s="249" customFormat="1" ht="18" x14ac:dyDescent="0.35">
      <c r="A5" s="248"/>
      <c r="B5" s="248"/>
      <c r="C5" s="248"/>
    </row>
    <row r="6" spans="1:3" s="250" customFormat="1" ht="72" customHeight="1" x14ac:dyDescent="0.3">
      <c r="A6" s="251" t="s">
        <v>298</v>
      </c>
      <c r="B6" s="252" t="s">
        <v>299</v>
      </c>
      <c r="C6" s="252" t="s">
        <v>300</v>
      </c>
    </row>
    <row r="7" spans="1:3" x14ac:dyDescent="0.3">
      <c r="A7" s="253" t="s">
        <v>301</v>
      </c>
      <c r="B7" s="254">
        <v>1914</v>
      </c>
      <c r="C7" s="254">
        <v>2109</v>
      </c>
    </row>
    <row r="8" spans="1:3" x14ac:dyDescent="0.3">
      <c r="A8" s="253" t="s">
        <v>302</v>
      </c>
      <c r="B8" s="254">
        <v>26733</v>
      </c>
      <c r="C8" s="254">
        <v>36146</v>
      </c>
    </row>
    <row r="9" spans="1:3" x14ac:dyDescent="0.3">
      <c r="A9" s="253" t="s">
        <v>303</v>
      </c>
      <c r="B9" s="254">
        <v>820</v>
      </c>
      <c r="C9" s="254">
        <v>857</v>
      </c>
    </row>
    <row r="10" spans="1:3" x14ac:dyDescent="0.3">
      <c r="A10" s="253" t="s">
        <v>304</v>
      </c>
      <c r="B10" s="254">
        <v>2881</v>
      </c>
      <c r="C10" s="254">
        <v>3092</v>
      </c>
    </row>
    <row r="11" spans="1:3" x14ac:dyDescent="0.3">
      <c r="A11" s="253" t="s">
        <v>305</v>
      </c>
      <c r="B11" s="254">
        <v>339</v>
      </c>
      <c r="C11" s="254">
        <v>339</v>
      </c>
    </row>
    <row r="12" spans="1:3" x14ac:dyDescent="0.3">
      <c r="A12" s="253" t="s">
        <v>306</v>
      </c>
      <c r="B12" s="254">
        <v>2469</v>
      </c>
      <c r="C12" s="254">
        <v>2715</v>
      </c>
    </row>
    <row r="13" spans="1:3" x14ac:dyDescent="0.3">
      <c r="A13" s="253" t="s">
        <v>307</v>
      </c>
      <c r="B13" s="254">
        <v>911</v>
      </c>
      <c r="C13" s="254">
        <v>915</v>
      </c>
    </row>
    <row r="14" spans="1:3" x14ac:dyDescent="0.3">
      <c r="A14" s="253" t="s">
        <v>308</v>
      </c>
      <c r="B14" s="254">
        <v>7580</v>
      </c>
      <c r="C14" s="254">
        <v>8249</v>
      </c>
    </row>
    <row r="15" spans="1:3" x14ac:dyDescent="0.3">
      <c r="A15" s="253" t="s">
        <v>309</v>
      </c>
      <c r="B15" s="254">
        <v>17</v>
      </c>
      <c r="C15" s="254">
        <v>17</v>
      </c>
    </row>
    <row r="16" spans="1:3" x14ac:dyDescent="0.3">
      <c r="A16" s="253" t="s">
        <v>310</v>
      </c>
      <c r="B16" s="254">
        <v>697</v>
      </c>
      <c r="C16" s="254">
        <v>706</v>
      </c>
    </row>
    <row r="17" spans="1:3" x14ac:dyDescent="0.3">
      <c r="A17" s="253" t="s">
        <v>311</v>
      </c>
      <c r="B17" s="254">
        <v>256</v>
      </c>
      <c r="C17" s="254">
        <v>256</v>
      </c>
    </row>
    <row r="18" spans="1:3" x14ac:dyDescent="0.3">
      <c r="A18" s="253" t="s">
        <v>312</v>
      </c>
      <c r="B18" s="254">
        <v>29</v>
      </c>
      <c r="C18" s="254">
        <v>29</v>
      </c>
    </row>
    <row r="19" spans="1:3" x14ac:dyDescent="0.3">
      <c r="A19" s="253" t="s">
        <v>313</v>
      </c>
      <c r="B19" s="254">
        <v>1711</v>
      </c>
      <c r="C19" s="254">
        <v>1797</v>
      </c>
    </row>
    <row r="20" spans="1:3" x14ac:dyDescent="0.3">
      <c r="A20" s="253" t="s">
        <v>314</v>
      </c>
      <c r="B20" s="254">
        <v>1</v>
      </c>
      <c r="C20" s="254">
        <v>1</v>
      </c>
    </row>
    <row r="21" spans="1:3" x14ac:dyDescent="0.3">
      <c r="A21" s="253" t="s">
        <v>315</v>
      </c>
      <c r="B21" s="254">
        <v>2525</v>
      </c>
      <c r="C21" s="254">
        <v>2525</v>
      </c>
    </row>
    <row r="22" spans="1:3" x14ac:dyDescent="0.3">
      <c r="A22" s="253" t="s">
        <v>316</v>
      </c>
      <c r="B22" s="254">
        <v>13572</v>
      </c>
      <c r="C22" s="254">
        <v>15431</v>
      </c>
    </row>
    <row r="23" spans="1:3" x14ac:dyDescent="0.3">
      <c r="A23" s="253" t="s">
        <v>317</v>
      </c>
      <c r="B23" s="254">
        <v>266</v>
      </c>
      <c r="C23" s="254">
        <v>589</v>
      </c>
    </row>
    <row r="24" spans="1:3" x14ac:dyDescent="0.3">
      <c r="A24" s="253" t="s">
        <v>318</v>
      </c>
      <c r="B24" s="254">
        <v>54</v>
      </c>
      <c r="C24" s="254">
        <v>54</v>
      </c>
    </row>
    <row r="25" spans="1:3" x14ac:dyDescent="0.3">
      <c r="A25" s="253" t="s">
        <v>319</v>
      </c>
      <c r="B25" s="254">
        <v>1756</v>
      </c>
      <c r="C25" s="254">
        <v>1821</v>
      </c>
    </row>
    <row r="26" spans="1:3" x14ac:dyDescent="0.3">
      <c r="A26" s="253" t="s">
        <v>320</v>
      </c>
      <c r="B26" s="254">
        <v>24</v>
      </c>
      <c r="C26" s="254">
        <v>24</v>
      </c>
    </row>
    <row r="27" spans="1:3" x14ac:dyDescent="0.3">
      <c r="A27" s="253" t="s">
        <v>321</v>
      </c>
      <c r="B27" s="254">
        <v>1645</v>
      </c>
      <c r="C27" s="254">
        <v>1677</v>
      </c>
    </row>
    <row r="28" spans="1:3" x14ac:dyDescent="0.3">
      <c r="A28" s="253" t="s">
        <v>322</v>
      </c>
      <c r="B28" s="254">
        <v>2011</v>
      </c>
      <c r="C28" s="254">
        <v>3280</v>
      </c>
    </row>
    <row r="29" spans="1:3" x14ac:dyDescent="0.3">
      <c r="A29" s="255" t="s">
        <v>323</v>
      </c>
      <c r="B29" s="256">
        <v>372</v>
      </c>
      <c r="C29" s="256">
        <v>413</v>
      </c>
    </row>
    <row r="30" spans="1:3" s="92" customFormat="1" x14ac:dyDescent="0.3">
      <c r="A30" s="257" t="s">
        <v>324</v>
      </c>
      <c r="B30" s="258">
        <f>SUM(B7:B29)</f>
        <v>68583</v>
      </c>
      <c r="C30" s="258">
        <f>SUM(C7:C29)</f>
        <v>83042</v>
      </c>
    </row>
    <row r="31" spans="1:3" x14ac:dyDescent="0.3">
      <c r="A31" s="259"/>
      <c r="B31" s="254"/>
      <c r="C31" s="254"/>
    </row>
    <row r="32" spans="1:3" s="77" customFormat="1" x14ac:dyDescent="0.3">
      <c r="A32" s="260" t="s">
        <v>325</v>
      </c>
      <c r="B32" s="261"/>
      <c r="C32" s="261"/>
    </row>
    <row r="33" spans="1:3" x14ac:dyDescent="0.3">
      <c r="A33" s="262" t="s">
        <v>326</v>
      </c>
      <c r="B33" s="254"/>
      <c r="C33" s="254"/>
    </row>
    <row r="34" spans="1:3" x14ac:dyDescent="0.3">
      <c r="A34" s="263"/>
      <c r="B34" s="254"/>
      <c r="C34" s="254"/>
    </row>
  </sheetData>
  <mergeCells count="4">
    <mergeCell ref="A1:C1"/>
    <mergeCell ref="A2:C2"/>
    <mergeCell ref="A3:C3"/>
    <mergeCell ref="A4:C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workbookViewId="0">
      <pane ySplit="6" topLeftCell="A7" activePane="bottomLeft" state="frozen"/>
      <selection pane="bottomLeft" activeCell="A7" sqref="A7"/>
    </sheetView>
  </sheetViews>
  <sheetFormatPr defaultRowHeight="15" x14ac:dyDescent="0.25"/>
  <cols>
    <col min="1" max="1" width="45.42578125" style="16" bestFit="1" customWidth="1"/>
    <col min="2" max="2" width="17.85546875" style="16" customWidth="1"/>
    <col min="3" max="3" width="15.28515625" style="16" customWidth="1"/>
    <col min="4" max="4" width="15.28515625" style="16" bestFit="1" customWidth="1"/>
    <col min="5" max="5" width="9.140625" style="16"/>
    <col min="6" max="6" width="18" style="16" customWidth="1"/>
    <col min="7" max="7" width="9.140625" style="168"/>
    <col min="8" max="16384" width="9.140625" style="16"/>
  </cols>
  <sheetData>
    <row r="1" spans="1:9" s="323" customFormat="1" ht="18" x14ac:dyDescent="0.35">
      <c r="A1" s="460" t="s">
        <v>222</v>
      </c>
      <c r="B1" s="460"/>
      <c r="C1" s="460"/>
      <c r="D1" s="460"/>
      <c r="E1" s="460"/>
      <c r="F1" s="460"/>
      <c r="G1" s="460"/>
      <c r="H1" s="460"/>
      <c r="I1" s="460"/>
    </row>
    <row r="2" spans="1:9" s="323" customFormat="1" ht="18" x14ac:dyDescent="0.35">
      <c r="A2" s="460" t="s">
        <v>3</v>
      </c>
      <c r="B2" s="460"/>
      <c r="C2" s="460"/>
      <c r="D2" s="460"/>
      <c r="E2" s="460"/>
      <c r="F2" s="460"/>
      <c r="G2" s="460"/>
      <c r="H2" s="460"/>
      <c r="I2" s="460"/>
    </row>
    <row r="3" spans="1:9" s="323" customFormat="1" ht="18" x14ac:dyDescent="0.35">
      <c r="A3" s="460" t="s">
        <v>22</v>
      </c>
      <c r="B3" s="460"/>
      <c r="C3" s="460"/>
      <c r="D3" s="460"/>
      <c r="E3" s="460"/>
      <c r="F3" s="460"/>
      <c r="G3" s="460"/>
      <c r="H3" s="460"/>
      <c r="I3" s="460"/>
    </row>
    <row r="4" spans="1:9" s="323" customFormat="1" ht="18" x14ac:dyDescent="0.35">
      <c r="A4" s="460" t="s">
        <v>223</v>
      </c>
      <c r="B4" s="460"/>
      <c r="C4" s="460"/>
      <c r="D4" s="460"/>
      <c r="E4" s="460"/>
      <c r="F4" s="460"/>
      <c r="G4" s="460"/>
      <c r="H4" s="460"/>
      <c r="I4" s="460"/>
    </row>
    <row r="5" spans="1:9" s="68" customFormat="1" ht="16.5" x14ac:dyDescent="0.3">
      <c r="A5" s="145"/>
      <c r="B5" s="67"/>
      <c r="C5" s="67"/>
      <c r="D5" s="67"/>
      <c r="E5" s="67"/>
      <c r="F5" s="67"/>
      <c r="G5" s="67"/>
      <c r="H5" s="67"/>
      <c r="I5" s="67"/>
    </row>
    <row r="6" spans="1:9" s="29" customFormat="1" ht="73.5" customHeight="1" x14ac:dyDescent="0.3">
      <c r="A6" s="133" t="s">
        <v>5</v>
      </c>
      <c r="B6" s="99" t="s">
        <v>12</v>
      </c>
      <c r="C6" s="146" t="s">
        <v>7</v>
      </c>
      <c r="D6" s="99" t="s">
        <v>11</v>
      </c>
      <c r="E6" s="146" t="s">
        <v>7</v>
      </c>
      <c r="F6" s="99" t="s">
        <v>224</v>
      </c>
      <c r="G6" s="134" t="s">
        <v>196</v>
      </c>
      <c r="H6" s="134" t="s">
        <v>194</v>
      </c>
      <c r="I6" s="134" t="s">
        <v>195</v>
      </c>
    </row>
    <row r="7" spans="1:9" s="267" customFormat="1" x14ac:dyDescent="0.3">
      <c r="A7" s="280" t="s">
        <v>201</v>
      </c>
      <c r="B7" s="302">
        <v>431642652.19</v>
      </c>
      <c r="C7" s="359">
        <f t="shared" ref="C7:C28" si="0">B7/$B$36</f>
        <v>8.1427985938547581E-2</v>
      </c>
      <c r="D7" s="302">
        <v>1754032.1</v>
      </c>
      <c r="E7" s="360">
        <f t="shared" ref="E7:E28" si="1">D7/$D$36</f>
        <v>6.4809378223375971E-2</v>
      </c>
      <c r="F7" s="302">
        <f>B7+D7</f>
        <v>433396684.29000002</v>
      </c>
      <c r="G7" s="360">
        <f>F7/$F$36</f>
        <v>8.1343568541853734E-2</v>
      </c>
      <c r="H7" s="360">
        <v>7.9901391137412528E-2</v>
      </c>
      <c r="I7" s="360">
        <v>8.8986968673891928E-2</v>
      </c>
    </row>
    <row r="8" spans="1:9" s="267" customFormat="1" x14ac:dyDescent="0.3">
      <c r="A8" s="280" t="s">
        <v>202</v>
      </c>
      <c r="B8" s="302">
        <v>338420714.93000001</v>
      </c>
      <c r="C8" s="359">
        <f t="shared" si="0"/>
        <v>6.3841969918448385E-2</v>
      </c>
      <c r="D8" s="302">
        <v>1793451.24</v>
      </c>
      <c r="E8" s="360">
        <f t="shared" si="1"/>
        <v>6.6265868075243678E-2</v>
      </c>
      <c r="F8" s="302">
        <f t="shared" ref="F8:F33" si="2">B8+D8</f>
        <v>340214166.17000002</v>
      </c>
      <c r="G8" s="360">
        <f t="shared" ref="G8:G36" si="3">F8/$F$36</f>
        <v>6.3854282572778684E-2</v>
      </c>
      <c r="H8" s="360">
        <v>6.8146378306878141E-2</v>
      </c>
      <c r="I8" s="360">
        <v>7.4375294600236508E-2</v>
      </c>
    </row>
    <row r="9" spans="1:9" s="267" customFormat="1" x14ac:dyDescent="0.3">
      <c r="A9" s="280" t="s">
        <v>203</v>
      </c>
      <c r="B9" s="302">
        <v>0</v>
      </c>
      <c r="C9" s="359">
        <f t="shared" si="0"/>
        <v>0</v>
      </c>
      <c r="D9" s="302">
        <v>0</v>
      </c>
      <c r="E9" s="360">
        <f t="shared" si="1"/>
        <v>0</v>
      </c>
      <c r="F9" s="302">
        <f t="shared" si="2"/>
        <v>0</v>
      </c>
      <c r="G9" s="360">
        <f t="shared" si="3"/>
        <v>0</v>
      </c>
      <c r="H9" s="360">
        <v>0</v>
      </c>
      <c r="I9" s="361">
        <v>0</v>
      </c>
    </row>
    <row r="10" spans="1:9" s="267" customFormat="1" x14ac:dyDescent="0.3">
      <c r="A10" s="280" t="s">
        <v>198</v>
      </c>
      <c r="B10" s="302">
        <v>2520</v>
      </c>
      <c r="C10" s="359">
        <f t="shared" si="0"/>
        <v>4.7538982425401239E-7</v>
      </c>
      <c r="D10" s="302"/>
      <c r="E10" s="360">
        <f t="shared" si="1"/>
        <v>0</v>
      </c>
      <c r="F10" s="302">
        <f t="shared" si="2"/>
        <v>2520</v>
      </c>
      <c r="G10" s="360">
        <f t="shared" si="3"/>
        <v>4.7297499070922437E-7</v>
      </c>
      <c r="H10" s="360">
        <v>0</v>
      </c>
      <c r="I10" s="360">
        <v>-2.8517810132506671E-6</v>
      </c>
    </row>
    <row r="11" spans="1:9" s="267" customFormat="1" x14ac:dyDescent="0.3">
      <c r="A11" s="280" t="s">
        <v>204</v>
      </c>
      <c r="B11" s="302">
        <v>331323232.14999998</v>
      </c>
      <c r="C11" s="359">
        <f t="shared" si="0"/>
        <v>6.2503052818674534E-2</v>
      </c>
      <c r="D11" s="302">
        <v>1467944.06</v>
      </c>
      <c r="E11" s="360">
        <f t="shared" si="1"/>
        <v>5.4238768945732589E-2</v>
      </c>
      <c r="F11" s="302">
        <f t="shared" si="2"/>
        <v>332791176.20999998</v>
      </c>
      <c r="G11" s="360">
        <f t="shared" si="3"/>
        <v>6.2461072807951025E-2</v>
      </c>
      <c r="H11" s="360">
        <v>6.6348263789044473E-2</v>
      </c>
      <c r="I11" s="360">
        <v>7.4792782346634834E-2</v>
      </c>
    </row>
    <row r="12" spans="1:9" s="267" customFormat="1" x14ac:dyDescent="0.3">
      <c r="A12" s="280" t="s">
        <v>205</v>
      </c>
      <c r="B12" s="302">
        <v>37581146.920000002</v>
      </c>
      <c r="C12" s="359">
        <f t="shared" si="0"/>
        <v>7.0895614403027859E-3</v>
      </c>
      <c r="D12" s="302">
        <v>179616.5</v>
      </c>
      <c r="E12" s="360">
        <f t="shared" si="1"/>
        <v>6.6366138246039003E-3</v>
      </c>
      <c r="F12" s="302">
        <f t="shared" si="2"/>
        <v>37760763.420000002</v>
      </c>
      <c r="G12" s="360">
        <f t="shared" si="3"/>
        <v>7.0872606062490949E-3</v>
      </c>
      <c r="H12" s="360">
        <v>8.1578040350184251E-3</v>
      </c>
      <c r="I12" s="360">
        <v>8.8453575699265069E-3</v>
      </c>
    </row>
    <row r="13" spans="1:9" s="267" customFormat="1" x14ac:dyDescent="0.3">
      <c r="A13" s="280" t="s">
        <v>206</v>
      </c>
      <c r="B13" s="302">
        <v>255902603.94</v>
      </c>
      <c r="C13" s="359">
        <f t="shared" si="0"/>
        <v>4.8275195997293942E-2</v>
      </c>
      <c r="D13" s="302">
        <v>656122.67000000004</v>
      </c>
      <c r="E13" s="360">
        <f t="shared" si="1"/>
        <v>2.4242944174716816E-2</v>
      </c>
      <c r="F13" s="302">
        <f t="shared" si="2"/>
        <v>256558726.60999998</v>
      </c>
      <c r="G13" s="360">
        <f t="shared" si="3"/>
        <v>4.8153119577275867E-2</v>
      </c>
      <c r="H13" s="360">
        <v>4.6796933835723149E-2</v>
      </c>
      <c r="I13" s="360">
        <v>4.487032242208281E-2</v>
      </c>
    </row>
    <row r="14" spans="1:9" s="267" customFormat="1" x14ac:dyDescent="0.3">
      <c r="A14" s="280" t="s">
        <v>199</v>
      </c>
      <c r="B14" s="302">
        <v>1285959.43</v>
      </c>
      <c r="C14" s="359">
        <f t="shared" si="0"/>
        <v>2.4259207437519442E-4</v>
      </c>
      <c r="D14" s="302"/>
      <c r="E14" s="360">
        <f t="shared" si="1"/>
        <v>0</v>
      </c>
      <c r="F14" s="302">
        <f t="shared" si="2"/>
        <v>1285959.43</v>
      </c>
      <c r="G14" s="360">
        <f t="shared" si="3"/>
        <v>2.4135978153043232E-4</v>
      </c>
      <c r="H14" s="360">
        <v>3.288048041283231E-4</v>
      </c>
      <c r="I14" s="360">
        <v>3.8768267850860285E-4</v>
      </c>
    </row>
    <row r="15" spans="1:9" s="267" customFormat="1" x14ac:dyDescent="0.3">
      <c r="A15" s="280" t="s">
        <v>207</v>
      </c>
      <c r="B15" s="302">
        <v>58199251.530000001</v>
      </c>
      <c r="C15" s="359">
        <f t="shared" si="0"/>
        <v>1.0979099982762605E-2</v>
      </c>
      <c r="D15" s="302">
        <v>234370.80000000002</v>
      </c>
      <c r="E15" s="360">
        <f t="shared" si="1"/>
        <v>8.6597194097617746E-3</v>
      </c>
      <c r="F15" s="302">
        <f t="shared" si="2"/>
        <v>58433622.329999998</v>
      </c>
      <c r="G15" s="360">
        <f t="shared" si="3"/>
        <v>1.0967318245491299E-2</v>
      </c>
      <c r="H15" s="360">
        <v>1.1265420122687947E-2</v>
      </c>
      <c r="I15" s="360">
        <v>1.1594269338041837E-2</v>
      </c>
    </row>
    <row r="16" spans="1:9" s="267" customFormat="1" x14ac:dyDescent="0.3">
      <c r="A16" s="280" t="s">
        <v>208</v>
      </c>
      <c r="B16" s="302">
        <v>983453421.57000005</v>
      </c>
      <c r="C16" s="359">
        <f t="shared" si="0"/>
        <v>0.18552529731832124</v>
      </c>
      <c r="D16" s="302">
        <v>4291813.46</v>
      </c>
      <c r="E16" s="360">
        <f t="shared" si="1"/>
        <v>0.15857734974936655</v>
      </c>
      <c r="F16" s="302">
        <f t="shared" si="2"/>
        <v>987745235.03000009</v>
      </c>
      <c r="G16" s="360">
        <f t="shared" si="3"/>
        <v>0.18538841006404561</v>
      </c>
      <c r="H16" s="360">
        <v>0.18422236997781291</v>
      </c>
      <c r="I16" s="360">
        <v>0.16580760334470548</v>
      </c>
    </row>
    <row r="17" spans="1:13" s="267" customFormat="1" x14ac:dyDescent="0.3">
      <c r="A17" s="280" t="s">
        <v>209</v>
      </c>
      <c r="B17" s="302">
        <v>270184296.43000001</v>
      </c>
      <c r="C17" s="359">
        <f t="shared" si="0"/>
        <v>5.0969390950814167E-2</v>
      </c>
      <c r="D17" s="302">
        <v>1267011.1299999999</v>
      </c>
      <c r="E17" s="360">
        <f t="shared" si="1"/>
        <v>4.6814538649205435E-2</v>
      </c>
      <c r="F17" s="302">
        <f t="shared" si="2"/>
        <v>271451307.56</v>
      </c>
      <c r="G17" s="360">
        <f t="shared" si="3"/>
        <v>5.0948285583808657E-2</v>
      </c>
      <c r="H17" s="360">
        <v>4.8521059646357806E-2</v>
      </c>
      <c r="I17" s="360">
        <v>4.6521155881699514E-2</v>
      </c>
    </row>
    <row r="18" spans="1:13" s="267" customFormat="1" x14ac:dyDescent="0.3">
      <c r="A18" s="280" t="s">
        <v>210</v>
      </c>
      <c r="B18" s="302">
        <v>113565822.41</v>
      </c>
      <c r="C18" s="359">
        <f t="shared" si="0"/>
        <v>2.1423823951092175E-2</v>
      </c>
      <c r="D18" s="302">
        <v>1374675.67</v>
      </c>
      <c r="E18" s="360">
        <f t="shared" si="1"/>
        <v>5.0792614018581969E-2</v>
      </c>
      <c r="F18" s="302">
        <f t="shared" si="2"/>
        <v>114940498.08</v>
      </c>
      <c r="G18" s="360">
        <f t="shared" si="3"/>
        <v>2.1573008337897468E-2</v>
      </c>
      <c r="H18" s="360">
        <v>1.9784720021976135E-2</v>
      </c>
      <c r="I18" s="360">
        <v>1.92247063708859E-2</v>
      </c>
    </row>
    <row r="19" spans="1:13" s="267" customFormat="1" x14ac:dyDescent="0.3">
      <c r="A19" s="280" t="s">
        <v>211</v>
      </c>
      <c r="B19" s="302">
        <v>98477.19</v>
      </c>
      <c r="C19" s="359">
        <f t="shared" si="0"/>
        <v>1.8577402399654361E-5</v>
      </c>
      <c r="D19" s="302">
        <v>2307.5500000000002</v>
      </c>
      <c r="E19" s="360">
        <f t="shared" si="1"/>
        <v>8.5261199449742823E-5</v>
      </c>
      <c r="F19" s="302">
        <f t="shared" si="2"/>
        <v>100784.74</v>
      </c>
      <c r="G19" s="360">
        <f t="shared" si="3"/>
        <v>1.8916135502036349E-5</v>
      </c>
      <c r="H19" s="360">
        <v>2.0915532638833795E-5</v>
      </c>
      <c r="I19" s="360">
        <v>6.1236337721595236E-6</v>
      </c>
    </row>
    <row r="20" spans="1:13" s="267" customFormat="1" x14ac:dyDescent="0.3">
      <c r="A20" s="280" t="s">
        <v>212</v>
      </c>
      <c r="B20" s="302">
        <v>95475566.099999994</v>
      </c>
      <c r="C20" s="359">
        <f t="shared" si="0"/>
        <v>1.8011155789218785E-2</v>
      </c>
      <c r="D20" s="302">
        <v>350859.19</v>
      </c>
      <c r="E20" s="360">
        <f t="shared" si="1"/>
        <v>1.2963825432759944E-2</v>
      </c>
      <c r="F20" s="302">
        <f t="shared" si="2"/>
        <v>95826425.289999992</v>
      </c>
      <c r="G20" s="360">
        <f t="shared" si="3"/>
        <v>1.7985516909220609E-2</v>
      </c>
      <c r="H20" s="360">
        <v>1.9959618705369764E-2</v>
      </c>
      <c r="I20" s="360">
        <v>1.8155251663320122E-2</v>
      </c>
    </row>
    <row r="21" spans="1:13" s="267" customFormat="1" x14ac:dyDescent="0.3">
      <c r="A21" s="280" t="s">
        <v>213</v>
      </c>
      <c r="B21" s="302">
        <v>190870185.84999999</v>
      </c>
      <c r="C21" s="359">
        <f t="shared" si="0"/>
        <v>3.6007041312127848E-2</v>
      </c>
      <c r="D21" s="302">
        <v>1421088.79</v>
      </c>
      <c r="E21" s="360">
        <f t="shared" si="1"/>
        <v>5.2507523026579565E-2</v>
      </c>
      <c r="F21" s="302">
        <f t="shared" si="2"/>
        <v>192291274.63999999</v>
      </c>
      <c r="G21" s="360">
        <f t="shared" si="3"/>
        <v>3.6090858665205915E-2</v>
      </c>
      <c r="H21" s="360">
        <v>3.9921048225238752E-2</v>
      </c>
      <c r="I21" s="360">
        <v>4.1701727742534889E-2</v>
      </c>
    </row>
    <row r="22" spans="1:13" s="267" customFormat="1" x14ac:dyDescent="0.3">
      <c r="A22" s="280" t="s">
        <v>214</v>
      </c>
      <c r="B22" s="302">
        <v>22469178.449999999</v>
      </c>
      <c r="C22" s="359">
        <f t="shared" si="0"/>
        <v>4.2387376168561679E-3</v>
      </c>
      <c r="D22" s="302">
        <v>79236.75</v>
      </c>
      <c r="E22" s="360">
        <f t="shared" si="1"/>
        <v>2.9277026913823788E-3</v>
      </c>
      <c r="F22" s="302">
        <f t="shared" si="2"/>
        <v>22548415.199999999</v>
      </c>
      <c r="G22" s="360">
        <f t="shared" si="3"/>
        <v>4.2320779641776716E-3</v>
      </c>
      <c r="H22" s="360">
        <v>3.998845100729809E-3</v>
      </c>
      <c r="I22" s="360">
        <v>4.4062505442656495E-3</v>
      </c>
    </row>
    <row r="23" spans="1:13" s="267" customFormat="1" x14ac:dyDescent="0.3">
      <c r="A23" s="280" t="s">
        <v>215</v>
      </c>
      <c r="B23" s="302">
        <v>3033514.19</v>
      </c>
      <c r="C23" s="359">
        <f t="shared" si="0"/>
        <v>5.7226261018101295E-4</v>
      </c>
      <c r="D23" s="302">
        <v>9237.1</v>
      </c>
      <c r="E23" s="360">
        <f t="shared" si="1"/>
        <v>3.4129974450703966E-4</v>
      </c>
      <c r="F23" s="302">
        <f t="shared" si="2"/>
        <v>3042751.29</v>
      </c>
      <c r="G23" s="360">
        <f t="shared" si="3"/>
        <v>5.7108939012628197E-4</v>
      </c>
      <c r="H23" s="360">
        <v>6.0144467135086219E-4</v>
      </c>
      <c r="I23" s="360">
        <v>6.8579967715800866E-4</v>
      </c>
    </row>
    <row r="24" spans="1:13" s="267" customFormat="1" x14ac:dyDescent="0.3">
      <c r="A24" s="280" t="s">
        <v>216</v>
      </c>
      <c r="B24" s="302">
        <v>28033060.199999999</v>
      </c>
      <c r="C24" s="359">
        <f t="shared" si="0"/>
        <v>5.2883458578492654E-3</v>
      </c>
      <c r="D24" s="302">
        <v>109825.68000000001</v>
      </c>
      <c r="E24" s="360">
        <f t="shared" si="1"/>
        <v>4.057926895271448E-3</v>
      </c>
      <c r="F24" s="302">
        <f t="shared" si="2"/>
        <v>28142885.879999999</v>
      </c>
      <c r="G24" s="360">
        <f t="shared" si="3"/>
        <v>5.2820957093745085E-3</v>
      </c>
      <c r="H24" s="360">
        <v>5.6811017367766042E-3</v>
      </c>
      <c r="I24" s="360">
        <v>5.2175611462042274E-3</v>
      </c>
    </row>
    <row r="25" spans="1:13" s="267" customFormat="1" x14ac:dyDescent="0.3">
      <c r="A25" s="280" t="s">
        <v>200</v>
      </c>
      <c r="B25" s="302">
        <v>1504.14</v>
      </c>
      <c r="C25" s="359">
        <f t="shared" si="0"/>
        <v>2.8375113105294852E-7</v>
      </c>
      <c r="D25" s="302"/>
      <c r="E25" s="360">
        <f t="shared" si="1"/>
        <v>0</v>
      </c>
      <c r="F25" s="302">
        <f t="shared" si="2"/>
        <v>1504.14</v>
      </c>
      <c r="G25" s="360">
        <f t="shared" si="3"/>
        <v>2.8230976290689396E-7</v>
      </c>
      <c r="H25" s="360">
        <v>7.4659679975794027E-6</v>
      </c>
      <c r="I25" s="360">
        <v>7.3951485188092423E-6</v>
      </c>
    </row>
    <row r="26" spans="1:13" s="267" customFormat="1" x14ac:dyDescent="0.3">
      <c r="A26" s="280" t="s">
        <v>217</v>
      </c>
      <c r="B26" s="302">
        <v>34714881.539999999</v>
      </c>
      <c r="C26" s="359">
        <f t="shared" si="0"/>
        <v>6.5488497755156585E-3</v>
      </c>
      <c r="D26" s="302">
        <v>111202.18000000001</v>
      </c>
      <c r="E26" s="360">
        <f t="shared" si="1"/>
        <v>4.10878691609118E-3</v>
      </c>
      <c r="F26" s="302">
        <f t="shared" si="2"/>
        <v>34826083.719999999</v>
      </c>
      <c r="G26" s="360">
        <f t="shared" si="3"/>
        <v>6.536455009486377E-3</v>
      </c>
      <c r="H26" s="360">
        <v>6.5536790241566313E-3</v>
      </c>
      <c r="I26" s="360">
        <v>6.6210059350519501E-3</v>
      </c>
    </row>
    <row r="27" spans="1:13" s="267" customFormat="1" x14ac:dyDescent="0.3">
      <c r="A27" s="280" t="s">
        <v>218</v>
      </c>
      <c r="B27" s="330">
        <v>42610859.740000002</v>
      </c>
      <c r="C27" s="362">
        <f t="shared" si="0"/>
        <v>8.0384004456789584E-3</v>
      </c>
      <c r="D27" s="330">
        <v>165964.79</v>
      </c>
      <c r="E27" s="363">
        <f t="shared" si="1"/>
        <v>6.1321995457626838E-3</v>
      </c>
      <c r="F27" s="330">
        <f t="shared" si="2"/>
        <v>42776824.530000001</v>
      </c>
      <c r="G27" s="363">
        <f t="shared" si="3"/>
        <v>8.0287175335900293E-3</v>
      </c>
      <c r="H27" s="363">
        <v>7.8408612896097591E-3</v>
      </c>
      <c r="I27" s="364">
        <v>1.0055772985652795E-2</v>
      </c>
    </row>
    <row r="28" spans="1:13" s="82" customFormat="1" x14ac:dyDescent="0.3">
      <c r="A28" s="365" t="s">
        <v>1</v>
      </c>
      <c r="B28" s="349">
        <f>SUM(B7:B27)</f>
        <v>3238868848.8999991</v>
      </c>
      <c r="C28" s="366">
        <f t="shared" si="0"/>
        <v>0.61100210034141511</v>
      </c>
      <c r="D28" s="349">
        <f>SUM(D7:D27)</f>
        <v>15268759.659999998</v>
      </c>
      <c r="E28" s="367">
        <f t="shared" si="1"/>
        <v>0.56416232052239257</v>
      </c>
      <c r="F28" s="349">
        <f>SUM(F7:F27)</f>
        <v>3254137608.5599995</v>
      </c>
      <c r="G28" s="367">
        <f t="shared" si="3"/>
        <v>0.6107641687203188</v>
      </c>
      <c r="H28" s="367">
        <v>0.61805812593090848</v>
      </c>
      <c r="I28" s="366">
        <v>0.62226018103735536</v>
      </c>
      <c r="J28" s="265"/>
      <c r="K28" s="368"/>
      <c r="L28" s="291"/>
      <c r="M28" s="369"/>
    </row>
    <row r="29" spans="1:13" s="267" customFormat="1" x14ac:dyDescent="0.3">
      <c r="A29" s="365"/>
      <c r="B29" s="348"/>
      <c r="C29" s="359"/>
      <c r="D29" s="348"/>
      <c r="E29" s="360"/>
      <c r="F29" s="348"/>
      <c r="G29" s="360"/>
      <c r="H29" s="360"/>
      <c r="I29" s="359"/>
      <c r="J29" s="268"/>
      <c r="K29" s="370"/>
      <c r="L29" s="283"/>
      <c r="M29" s="371"/>
    </row>
    <row r="30" spans="1:13" s="267" customFormat="1" x14ac:dyDescent="0.3">
      <c r="A30" s="365" t="s">
        <v>165</v>
      </c>
      <c r="B30" s="348"/>
      <c r="C30" s="359"/>
      <c r="D30" s="348"/>
      <c r="E30" s="360"/>
      <c r="F30" s="348"/>
      <c r="G30" s="360"/>
      <c r="H30" s="360"/>
      <c r="I30" s="359"/>
      <c r="J30" s="268"/>
      <c r="K30" s="370"/>
      <c r="L30" s="283"/>
      <c r="M30" s="371"/>
    </row>
    <row r="31" spans="1:13" s="267" customFormat="1" x14ac:dyDescent="0.3">
      <c r="A31" s="94" t="s">
        <v>166</v>
      </c>
      <c r="B31" s="338">
        <v>500050</v>
      </c>
      <c r="C31" s="359">
        <f>B31/$B$36</f>
        <v>9.4332810165959877E-5</v>
      </c>
      <c r="D31" s="338">
        <v>234528</v>
      </c>
      <c r="E31" s="360">
        <f>D31/$D$36</f>
        <v>8.6655277608499413E-3</v>
      </c>
      <c r="F31" s="338">
        <f t="shared" si="2"/>
        <v>734578</v>
      </c>
      <c r="G31" s="360">
        <f t="shared" si="3"/>
        <v>1.3787183441476216E-4</v>
      </c>
      <c r="H31" s="360">
        <v>1.6846689809499278E-4</v>
      </c>
      <c r="I31" s="359">
        <v>1.6612265196889659E-4</v>
      </c>
      <c r="J31" s="268"/>
      <c r="K31" s="370"/>
      <c r="L31" s="283"/>
      <c r="M31" s="371"/>
    </row>
    <row r="32" spans="1:13" s="267" customFormat="1" x14ac:dyDescent="0.3">
      <c r="A32" s="94" t="s">
        <v>167</v>
      </c>
      <c r="B32" s="302">
        <v>191409766.80104357</v>
      </c>
      <c r="C32" s="359">
        <f>B32/$B$36</f>
        <v>3.6108831507956192E-2</v>
      </c>
      <c r="D32" s="302">
        <v>1163379.6000001018</v>
      </c>
      <c r="E32" s="360">
        <f>D32/$D$36</f>
        <v>4.2985478152746719E-2</v>
      </c>
      <c r="F32" s="302">
        <f t="shared" si="2"/>
        <v>192573146.40104368</v>
      </c>
      <c r="G32" s="360">
        <f t="shared" si="3"/>
        <v>3.6143762749952277E-2</v>
      </c>
      <c r="H32" s="360">
        <v>3.2683634840263931E-2</v>
      </c>
      <c r="I32" s="359">
        <v>3.1544718363137214E-2</v>
      </c>
      <c r="J32" s="268"/>
      <c r="K32" s="370"/>
      <c r="L32" s="283"/>
      <c r="M32" s="371"/>
    </row>
    <row r="33" spans="1:16" s="267" customFormat="1" x14ac:dyDescent="0.3">
      <c r="A33" s="280" t="s">
        <v>197</v>
      </c>
      <c r="B33" s="330">
        <v>1870134125.0899999</v>
      </c>
      <c r="C33" s="362">
        <f>B33/$B$36</f>
        <v>0.3527947353404628</v>
      </c>
      <c r="D33" s="330">
        <v>10397812.42</v>
      </c>
      <c r="E33" s="363">
        <f>D33/$D$36</f>
        <v>0.38418667356401071</v>
      </c>
      <c r="F33" s="330">
        <f t="shared" si="2"/>
        <v>1880531937.51</v>
      </c>
      <c r="G33" s="363">
        <f t="shared" si="3"/>
        <v>0.35295419669531425</v>
      </c>
      <c r="H33" s="363">
        <v>0.34908977233073246</v>
      </c>
      <c r="I33" s="363">
        <v>0.3460289779475384</v>
      </c>
    </row>
    <row r="34" spans="1:16" s="82" customFormat="1" x14ac:dyDescent="0.3">
      <c r="A34" s="365" t="s">
        <v>168</v>
      </c>
      <c r="B34" s="334">
        <f>SUM(B31:B33)</f>
        <v>2062043941.8910434</v>
      </c>
      <c r="C34" s="366">
        <f>B34/$B$36</f>
        <v>0.38899789965858494</v>
      </c>
      <c r="D34" s="334">
        <f>SUM(D31:D33)</f>
        <v>11795720.020000102</v>
      </c>
      <c r="E34" s="367">
        <f>D34/$D$36</f>
        <v>0.43583767947760738</v>
      </c>
      <c r="F34" s="334">
        <f>SUM(F31:F33)</f>
        <v>2073839661.9110436</v>
      </c>
      <c r="G34" s="367">
        <f t="shared" si="3"/>
        <v>0.38923583127968131</v>
      </c>
      <c r="H34" s="367">
        <v>0.38194187406909141</v>
      </c>
      <c r="I34" s="367">
        <v>0.37773981896264452</v>
      </c>
    </row>
    <row r="35" spans="1:16" s="267" customFormat="1" x14ac:dyDescent="0.3">
      <c r="B35" s="302"/>
      <c r="C35" s="359"/>
      <c r="D35" s="302"/>
      <c r="E35" s="360"/>
      <c r="F35" s="302"/>
      <c r="G35" s="360"/>
      <c r="H35" s="360"/>
      <c r="I35" s="360"/>
    </row>
    <row r="36" spans="1:16" s="82" customFormat="1" x14ac:dyDescent="0.3">
      <c r="A36" s="339" t="s">
        <v>169</v>
      </c>
      <c r="B36" s="349">
        <f>B28+B34</f>
        <v>5300912790.7910423</v>
      </c>
      <c r="C36" s="366">
        <f>B36/$B$36</f>
        <v>1</v>
      </c>
      <c r="D36" s="349">
        <f t="shared" ref="D36" si="4">D28+D34</f>
        <v>27064479.6800001</v>
      </c>
      <c r="E36" s="367">
        <f>D36/$D$36</f>
        <v>1</v>
      </c>
      <c r="F36" s="349">
        <f>F28+F34</f>
        <v>5327977270.4710426</v>
      </c>
      <c r="G36" s="367">
        <f t="shared" si="3"/>
        <v>1</v>
      </c>
      <c r="H36" s="367">
        <v>1</v>
      </c>
      <c r="I36" s="367">
        <v>1</v>
      </c>
    </row>
    <row r="37" spans="1:16" s="82" customFormat="1" x14ac:dyDescent="0.3">
      <c r="A37" s="267"/>
      <c r="B37" s="372"/>
      <c r="C37" s="367"/>
      <c r="D37" s="372"/>
      <c r="E37" s="367"/>
      <c r="F37" s="372"/>
      <c r="G37" s="360"/>
      <c r="H37" s="367"/>
      <c r="I37" s="367"/>
    </row>
    <row r="38" spans="1:16" s="82" customFormat="1" x14ac:dyDescent="0.3">
      <c r="A38" s="6" t="s">
        <v>225</v>
      </c>
      <c r="B38" s="81">
        <v>402092</v>
      </c>
      <c r="C38" s="367"/>
      <c r="D38" s="81">
        <v>2598</v>
      </c>
      <c r="E38" s="367"/>
      <c r="F38" s="373">
        <f>B38+D38</f>
        <v>404690</v>
      </c>
      <c r="G38" s="367"/>
      <c r="H38" s="367"/>
      <c r="I38" s="367"/>
    </row>
    <row r="39" spans="1:16" s="265" customFormat="1" x14ac:dyDescent="0.3">
      <c r="A39" s="136" t="s">
        <v>226</v>
      </c>
      <c r="B39" s="334">
        <f>B36/B38</f>
        <v>13183.333144631184</v>
      </c>
      <c r="C39" s="334"/>
      <c r="D39" s="334">
        <f t="shared" ref="D39:F39" si="5">D36/D38</f>
        <v>10417.42866820635</v>
      </c>
      <c r="E39" s="334"/>
      <c r="F39" s="334">
        <f t="shared" si="5"/>
        <v>13165.576788334385</v>
      </c>
      <c r="G39" s="366"/>
      <c r="H39" s="366"/>
      <c r="I39" s="366"/>
    </row>
    <row r="40" spans="1:16" s="267" customFormat="1" x14ac:dyDescent="0.3">
      <c r="B40" s="340"/>
      <c r="C40" s="359"/>
      <c r="D40" s="340"/>
      <c r="E40" s="360"/>
      <c r="F40" s="343"/>
      <c r="G40" s="360"/>
      <c r="H40" s="360"/>
      <c r="I40" s="360"/>
    </row>
    <row r="41" spans="1:16" s="55" customFormat="1" ht="13.5" x14ac:dyDescent="0.3">
      <c r="A41" s="350"/>
      <c r="B41" s="351"/>
      <c r="C41" s="374"/>
      <c r="D41" s="351"/>
      <c r="E41" s="147"/>
      <c r="F41" s="137"/>
      <c r="G41" s="147"/>
      <c r="H41" s="138"/>
      <c r="I41" s="148"/>
      <c r="J41" s="140"/>
    </row>
    <row r="42" spans="1:16" s="128" customFormat="1" ht="12" customHeight="1" x14ac:dyDescent="0.3">
      <c r="A42" s="457" t="s">
        <v>221</v>
      </c>
      <c r="B42" s="458"/>
      <c r="C42" s="458"/>
      <c r="D42" s="458"/>
      <c r="E42" s="458"/>
      <c r="F42" s="458"/>
      <c r="G42" s="458"/>
      <c r="H42" s="458"/>
      <c r="I42" s="458"/>
      <c r="J42" s="458"/>
      <c r="K42" s="458"/>
      <c r="L42" s="458"/>
      <c r="M42" s="458"/>
      <c r="N42" s="127"/>
      <c r="O42" s="127"/>
      <c r="P42" s="127"/>
    </row>
    <row r="43" spans="1:16" s="128" customFormat="1" ht="12" customHeight="1" x14ac:dyDescent="0.3">
      <c r="A43" s="243" t="s">
        <v>186</v>
      </c>
      <c r="B43" s="244"/>
      <c r="C43" s="244"/>
      <c r="D43" s="244"/>
      <c r="E43" s="244"/>
      <c r="F43" s="244"/>
      <c r="G43" s="244"/>
      <c r="H43" s="244"/>
      <c r="I43" s="244"/>
      <c r="J43" s="244"/>
      <c r="K43" s="244"/>
      <c r="L43" s="244"/>
      <c r="M43" s="244"/>
      <c r="N43" s="127"/>
      <c r="O43" s="127"/>
      <c r="P43" s="127"/>
    </row>
    <row r="44" spans="1:16" s="84" customFormat="1" ht="14.25" x14ac:dyDescent="0.3">
      <c r="A44" s="132" t="s">
        <v>187</v>
      </c>
      <c r="B44" s="375"/>
      <c r="C44" s="376"/>
      <c r="D44" s="353"/>
      <c r="E44" s="377"/>
      <c r="F44" s="353"/>
      <c r="G44" s="376"/>
      <c r="H44" s="376"/>
      <c r="I44" s="376"/>
    </row>
    <row r="46" spans="1:16" x14ac:dyDescent="0.25">
      <c r="D46" s="113"/>
    </row>
  </sheetData>
  <mergeCells count="5">
    <mergeCell ref="A1:I1"/>
    <mergeCell ref="A2:I2"/>
    <mergeCell ref="A3:I3"/>
    <mergeCell ref="A4:I4"/>
    <mergeCell ref="A42:M42"/>
  </mergeCells>
  <pageMargins left="0.7" right="0.7" top="0.75" bottom="0.75" header="0.3" footer="0.3"/>
  <ignoredErrors>
    <ignoredError sqref="C28:I36"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pane ySplit="6" topLeftCell="A7" activePane="bottomLeft" state="frozen"/>
      <selection pane="bottomLeft" activeCell="A7" sqref="A7"/>
    </sheetView>
  </sheetViews>
  <sheetFormatPr defaultRowHeight="15" x14ac:dyDescent="0.25"/>
  <cols>
    <col min="1" max="1" width="45.42578125" style="16" bestFit="1" customWidth="1"/>
    <col min="2" max="2" width="16.28515625" style="165" bestFit="1" customWidth="1"/>
    <col min="3" max="3" width="12.5703125" style="166" customWidth="1"/>
    <col min="4" max="4" width="22.140625" style="165" customWidth="1"/>
    <col min="5" max="5" width="12.42578125" style="167" customWidth="1"/>
    <col min="6" max="6" width="28.28515625" style="165" bestFit="1" customWidth="1"/>
    <col min="7" max="7" width="12.28515625" style="167" customWidth="1"/>
    <col min="8" max="8" width="23.42578125" style="165" customWidth="1"/>
    <col min="9" max="9" width="12" style="167" customWidth="1"/>
    <col min="10" max="10" width="18.140625" style="165" customWidth="1"/>
    <col min="11" max="11" width="11.85546875" style="167" customWidth="1"/>
    <col min="12" max="12" width="20.42578125" style="165" customWidth="1"/>
    <col min="13" max="13" width="12.42578125" style="167" customWidth="1"/>
    <col min="14" max="14" width="19.28515625" style="165" customWidth="1"/>
    <col min="15" max="15" width="11.42578125" style="167" customWidth="1"/>
    <col min="16" max="16" width="22.42578125" style="16" customWidth="1"/>
    <col min="17" max="17" width="9.140625" style="168"/>
    <col min="18" max="16384" width="9.140625" style="16"/>
  </cols>
  <sheetData>
    <row r="1" spans="1:18" s="149" customFormat="1" ht="18" x14ac:dyDescent="0.35">
      <c r="A1" s="461" t="s">
        <v>227</v>
      </c>
      <c r="B1" s="461"/>
      <c r="C1" s="461"/>
      <c r="D1" s="461"/>
      <c r="E1" s="461"/>
      <c r="F1" s="461"/>
      <c r="G1" s="461"/>
      <c r="H1" s="461"/>
      <c r="I1" s="461"/>
      <c r="J1" s="461"/>
      <c r="K1" s="461"/>
      <c r="L1" s="461"/>
      <c r="M1" s="461"/>
      <c r="N1" s="461"/>
      <c r="O1" s="461"/>
      <c r="P1" s="461"/>
      <c r="Q1" s="461"/>
      <c r="R1" s="461"/>
    </row>
    <row r="2" spans="1:18" s="149" customFormat="1" ht="18" x14ac:dyDescent="0.35">
      <c r="A2" s="462" t="s">
        <v>3</v>
      </c>
      <c r="B2" s="462"/>
      <c r="C2" s="462"/>
      <c r="D2" s="462"/>
      <c r="E2" s="462"/>
      <c r="F2" s="462"/>
      <c r="G2" s="462"/>
      <c r="H2" s="462"/>
      <c r="I2" s="462"/>
      <c r="J2" s="462"/>
      <c r="K2" s="462"/>
      <c r="L2" s="462"/>
      <c r="M2" s="462"/>
      <c r="N2" s="462"/>
      <c r="O2" s="462"/>
      <c r="P2" s="462"/>
      <c r="Q2" s="462"/>
      <c r="R2" s="462"/>
    </row>
    <row r="3" spans="1:18" s="149" customFormat="1" ht="18" x14ac:dyDescent="0.35">
      <c r="A3" s="461" t="s">
        <v>22</v>
      </c>
      <c r="B3" s="461"/>
      <c r="C3" s="461"/>
      <c r="D3" s="461"/>
      <c r="E3" s="461"/>
      <c r="F3" s="461"/>
      <c r="G3" s="461"/>
      <c r="H3" s="461"/>
      <c r="I3" s="461"/>
      <c r="J3" s="461"/>
      <c r="K3" s="461"/>
      <c r="L3" s="461"/>
      <c r="M3" s="461"/>
      <c r="N3" s="461"/>
      <c r="O3" s="461"/>
      <c r="P3" s="461"/>
      <c r="Q3" s="461"/>
      <c r="R3" s="461"/>
    </row>
    <row r="4" spans="1:18" s="149" customFormat="1" ht="18" x14ac:dyDescent="0.35">
      <c r="A4" s="461" t="s">
        <v>228</v>
      </c>
      <c r="B4" s="461"/>
      <c r="C4" s="461"/>
      <c r="D4" s="461"/>
      <c r="E4" s="461"/>
      <c r="F4" s="461"/>
      <c r="G4" s="461"/>
      <c r="H4" s="461"/>
      <c r="I4" s="461"/>
      <c r="J4" s="461"/>
      <c r="K4" s="461"/>
      <c r="L4" s="461"/>
      <c r="M4" s="461"/>
      <c r="N4" s="461"/>
      <c r="O4" s="461"/>
      <c r="P4" s="461"/>
      <c r="Q4" s="461"/>
      <c r="R4" s="461"/>
    </row>
    <row r="5" spans="1:18" s="151" customFormat="1" ht="16.5" x14ac:dyDescent="0.3">
      <c r="A5" s="150"/>
      <c r="B5" s="150"/>
      <c r="C5" s="150"/>
      <c r="D5" s="150"/>
      <c r="E5" s="150"/>
      <c r="F5" s="150"/>
      <c r="G5" s="150"/>
      <c r="H5" s="150"/>
      <c r="I5" s="150"/>
      <c r="J5" s="150"/>
      <c r="K5" s="150"/>
      <c r="L5" s="150"/>
      <c r="M5" s="150"/>
      <c r="N5" s="150"/>
      <c r="O5" s="150"/>
      <c r="P5" s="150"/>
      <c r="Q5" s="150"/>
      <c r="R5" s="150"/>
    </row>
    <row r="6" spans="1:18" s="156" customFormat="1" ht="75" x14ac:dyDescent="0.3">
      <c r="A6" s="152" t="s">
        <v>5</v>
      </c>
      <c r="B6" s="153" t="s">
        <v>229</v>
      </c>
      <c r="C6" s="154" t="s">
        <v>230</v>
      </c>
      <c r="D6" s="155" t="s">
        <v>231</v>
      </c>
      <c r="E6" s="154" t="s">
        <v>230</v>
      </c>
      <c r="F6" s="155" t="s">
        <v>232</v>
      </c>
      <c r="G6" s="154" t="s">
        <v>230</v>
      </c>
      <c r="H6" s="155" t="s">
        <v>37</v>
      </c>
      <c r="I6" s="154" t="s">
        <v>230</v>
      </c>
      <c r="J6" s="155" t="s">
        <v>15</v>
      </c>
      <c r="K6" s="154" t="s">
        <v>230</v>
      </c>
      <c r="L6" s="155" t="s">
        <v>233</v>
      </c>
      <c r="M6" s="154" t="s">
        <v>230</v>
      </c>
      <c r="N6" s="155" t="s">
        <v>17</v>
      </c>
      <c r="O6" s="154" t="s">
        <v>230</v>
      </c>
      <c r="P6" s="155" t="s">
        <v>234</v>
      </c>
      <c r="Q6" s="134" t="s">
        <v>196</v>
      </c>
      <c r="R6" s="134" t="s">
        <v>194</v>
      </c>
    </row>
    <row r="7" spans="1:18" s="267" customFormat="1" x14ac:dyDescent="0.3">
      <c r="A7" s="159" t="s">
        <v>201</v>
      </c>
      <c r="B7" s="281">
        <v>150904826.81999999</v>
      </c>
      <c r="C7" s="378">
        <f>B7/$B$36</f>
        <v>0.1246306976412294</v>
      </c>
      <c r="D7" s="281">
        <v>44712460.590000004</v>
      </c>
      <c r="E7" s="378">
        <f>D7/$D$36</f>
        <v>0.27886530121901787</v>
      </c>
      <c r="F7" s="281">
        <v>123323392.14</v>
      </c>
      <c r="G7" s="378">
        <f>F7/$F$36</f>
        <v>8.2701568670266234E-2</v>
      </c>
      <c r="H7" s="281">
        <v>159898159.37</v>
      </c>
      <c r="I7" s="378">
        <f>H7/$H$36</f>
        <v>0.15016913891931447</v>
      </c>
      <c r="J7" s="281">
        <v>9227796.1699999999</v>
      </c>
      <c r="K7" s="378">
        <f>J7/$J$36</f>
        <v>3.3200256038474679E-2</v>
      </c>
      <c r="L7" s="281">
        <v>747760.09</v>
      </c>
      <c r="M7" s="378">
        <f>L7/$L$36</f>
        <v>5.1167411105900701E-2</v>
      </c>
      <c r="N7" s="281">
        <v>46792.959999999999</v>
      </c>
      <c r="O7" s="378">
        <f>N7/$N$36</f>
        <v>4.1637143485213409E-3</v>
      </c>
      <c r="P7" s="281">
        <f>SUM(B7,D7,F7,H7,J7,L7,N7)</f>
        <v>488861188.13999999</v>
      </c>
      <c r="Q7" s="378">
        <f>P7/$P$36</f>
        <v>0.11554484914237581</v>
      </c>
      <c r="R7" s="378">
        <v>0.11506182990212607</v>
      </c>
    </row>
    <row r="8" spans="1:18" s="267" customFormat="1" x14ac:dyDescent="0.3">
      <c r="A8" s="159" t="s">
        <v>202</v>
      </c>
      <c r="B8" s="281">
        <v>230004902.53999999</v>
      </c>
      <c r="C8" s="378">
        <f t="shared" ref="C8:C36" si="0">B8/$B$36</f>
        <v>0.18995861211686574</v>
      </c>
      <c r="D8" s="281">
        <v>22281550.210000001</v>
      </c>
      <c r="E8" s="378">
        <f t="shared" ref="E8:E36" si="1">D8/$D$36</f>
        <v>0.13896688146766831</v>
      </c>
      <c r="F8" s="281">
        <v>148844753.97999999</v>
      </c>
      <c r="G8" s="378">
        <f t="shared" ref="G8:G36" si="2">F8/$F$36</f>
        <v>9.9816380565590987E-2</v>
      </c>
      <c r="H8" s="281">
        <v>106881196.3</v>
      </c>
      <c r="I8" s="378">
        <f t="shared" ref="I8:I36" si="3">H8/$H$36</f>
        <v>0.10037799858532055</v>
      </c>
      <c r="J8" s="281">
        <v>29032028.25</v>
      </c>
      <c r="K8" s="378">
        <f t="shared" ref="K8:K36" si="4">J8/$J$36</f>
        <v>0.10445297592829578</v>
      </c>
      <c r="L8" s="281">
        <v>7970796.0300000003</v>
      </c>
      <c r="M8" s="378">
        <f t="shared" ref="M8:M36" si="5">L8/$L$36</f>
        <v>0.54542225877325334</v>
      </c>
      <c r="N8" s="281">
        <v>117678.47</v>
      </c>
      <c r="O8" s="378">
        <f t="shared" ref="O8:O36" si="6">N8/$N$36</f>
        <v>1.0471223321863763E-2</v>
      </c>
      <c r="P8" s="281">
        <f t="shared" ref="P8:P27" si="7">SUM(B8,D8,F8,H8,J8,L8,N8)</f>
        <v>545132905.77999997</v>
      </c>
      <c r="Q8" s="378">
        <f t="shared" ref="Q8:Q36" si="8">P8/$P$36</f>
        <v>0.12884495821921696</v>
      </c>
      <c r="R8" s="378">
        <v>0.1290961153017019</v>
      </c>
    </row>
    <row r="9" spans="1:18" s="267" customFormat="1" x14ac:dyDescent="0.3">
      <c r="A9" s="159" t="s">
        <v>203</v>
      </c>
      <c r="B9" s="295">
        <v>0</v>
      </c>
      <c r="C9" s="378">
        <f t="shared" si="0"/>
        <v>0</v>
      </c>
      <c r="D9" s="295">
        <v>0</v>
      </c>
      <c r="E9" s="378">
        <f t="shared" si="1"/>
        <v>0</v>
      </c>
      <c r="F9" s="295">
        <v>0</v>
      </c>
      <c r="G9" s="378">
        <f t="shared" si="2"/>
        <v>0</v>
      </c>
      <c r="H9" s="295">
        <v>0</v>
      </c>
      <c r="I9" s="378">
        <f t="shared" si="3"/>
        <v>0</v>
      </c>
      <c r="J9" s="295">
        <v>0</v>
      </c>
      <c r="K9" s="378">
        <f t="shared" si="4"/>
        <v>0</v>
      </c>
      <c r="L9" s="295">
        <v>0</v>
      </c>
      <c r="M9" s="378">
        <f t="shared" si="5"/>
        <v>0</v>
      </c>
      <c r="N9" s="295">
        <v>0</v>
      </c>
      <c r="O9" s="378">
        <f t="shared" si="6"/>
        <v>0</v>
      </c>
      <c r="P9" s="295">
        <f t="shared" si="7"/>
        <v>0</v>
      </c>
      <c r="Q9" s="378">
        <f t="shared" si="8"/>
        <v>0</v>
      </c>
      <c r="R9" s="378">
        <v>0</v>
      </c>
    </row>
    <row r="10" spans="1:18" s="267" customFormat="1" x14ac:dyDescent="0.3">
      <c r="A10" s="159" t="s">
        <v>198</v>
      </c>
      <c r="B10" s="281">
        <v>0</v>
      </c>
      <c r="C10" s="378">
        <f t="shared" si="0"/>
        <v>0</v>
      </c>
      <c r="D10" s="281">
        <v>0</v>
      </c>
      <c r="E10" s="378">
        <f t="shared" si="1"/>
        <v>0</v>
      </c>
      <c r="F10" s="281">
        <v>0</v>
      </c>
      <c r="G10" s="378">
        <f t="shared" si="2"/>
        <v>0</v>
      </c>
      <c r="H10" s="281">
        <v>0</v>
      </c>
      <c r="I10" s="378">
        <f t="shared" si="3"/>
        <v>0</v>
      </c>
      <c r="J10" s="281">
        <v>0</v>
      </c>
      <c r="K10" s="378">
        <f t="shared" si="4"/>
        <v>0</v>
      </c>
      <c r="L10" s="281">
        <v>0</v>
      </c>
      <c r="M10" s="378">
        <f t="shared" si="5"/>
        <v>0</v>
      </c>
      <c r="N10" s="281">
        <v>0</v>
      </c>
      <c r="O10" s="378">
        <f t="shared" si="6"/>
        <v>0</v>
      </c>
      <c r="P10" s="281">
        <f t="shared" si="7"/>
        <v>0</v>
      </c>
      <c r="Q10" s="378">
        <f t="shared" si="8"/>
        <v>0</v>
      </c>
      <c r="R10" s="378">
        <v>2.2403068574954528E-5</v>
      </c>
    </row>
    <row r="11" spans="1:18" s="267" customFormat="1" x14ac:dyDescent="0.3">
      <c r="A11" s="159" t="s">
        <v>204</v>
      </c>
      <c r="B11" s="281">
        <v>231566321.71000001</v>
      </c>
      <c r="C11" s="378">
        <f t="shared" si="0"/>
        <v>0.19124817166620747</v>
      </c>
      <c r="D11" s="281">
        <v>46246608.840000004</v>
      </c>
      <c r="E11" s="378">
        <f t="shared" si="1"/>
        <v>0.28843356716111995</v>
      </c>
      <c r="F11" s="281">
        <v>247086626.28999999</v>
      </c>
      <c r="G11" s="378">
        <f t="shared" si="2"/>
        <v>0.16569809860913581</v>
      </c>
      <c r="H11" s="281">
        <v>224135899.41</v>
      </c>
      <c r="I11" s="378">
        <f t="shared" si="3"/>
        <v>0.21049832685954442</v>
      </c>
      <c r="J11" s="281">
        <v>53871127.200000003</v>
      </c>
      <c r="K11" s="378">
        <f t="shared" si="4"/>
        <v>0.19382040773027148</v>
      </c>
      <c r="L11" s="281">
        <v>2906233.16</v>
      </c>
      <c r="M11" s="378">
        <f t="shared" si="5"/>
        <v>0.19886649321886235</v>
      </c>
      <c r="N11" s="281">
        <v>149189.16</v>
      </c>
      <c r="O11" s="378">
        <f t="shared" si="6"/>
        <v>1.3275096213957102E-2</v>
      </c>
      <c r="P11" s="281">
        <f t="shared" si="7"/>
        <v>805962005.76999998</v>
      </c>
      <c r="Q11" s="378">
        <f t="shared" si="8"/>
        <v>0.19049325377107298</v>
      </c>
      <c r="R11" s="378">
        <v>0.18678467413978905</v>
      </c>
    </row>
    <row r="12" spans="1:18" s="267" customFormat="1" x14ac:dyDescent="0.3">
      <c r="A12" s="159" t="s">
        <v>205</v>
      </c>
      <c r="B12" s="281">
        <v>19512662.460000001</v>
      </c>
      <c r="C12" s="378">
        <f t="shared" si="0"/>
        <v>1.611530118999031E-2</v>
      </c>
      <c r="D12" s="281">
        <v>6774100.7400000002</v>
      </c>
      <c r="E12" s="378">
        <f t="shared" si="1"/>
        <v>4.2249109497019335E-2</v>
      </c>
      <c r="F12" s="281">
        <v>25203585.219999999</v>
      </c>
      <c r="G12" s="378">
        <f t="shared" si="2"/>
        <v>1.6901708569956441E-2</v>
      </c>
      <c r="H12" s="281">
        <v>21298722.210000001</v>
      </c>
      <c r="I12" s="378">
        <f t="shared" si="3"/>
        <v>2.0002799200185557E-2</v>
      </c>
      <c r="J12" s="281">
        <v>4831794.8499999996</v>
      </c>
      <c r="K12" s="378">
        <f t="shared" si="4"/>
        <v>1.7384088593862312E-2</v>
      </c>
      <c r="L12" s="281">
        <v>77588.150000000009</v>
      </c>
      <c r="M12" s="378">
        <f t="shared" si="5"/>
        <v>5.3091691052892243E-3</v>
      </c>
      <c r="N12" s="281">
        <v>40363.67</v>
      </c>
      <c r="O12" s="378">
        <f t="shared" si="6"/>
        <v>3.5916255765393E-3</v>
      </c>
      <c r="P12" s="281">
        <f t="shared" si="7"/>
        <v>77738817.299999997</v>
      </c>
      <c r="Q12" s="378">
        <f t="shared" si="8"/>
        <v>1.837396818432405E-2</v>
      </c>
      <c r="R12" s="378">
        <v>1.7336399417664659E-2</v>
      </c>
    </row>
    <row r="13" spans="1:18" s="267" customFormat="1" x14ac:dyDescent="0.3">
      <c r="A13" s="159" t="s">
        <v>206</v>
      </c>
      <c r="B13" s="281">
        <v>361496.05</v>
      </c>
      <c r="C13" s="378">
        <f t="shared" si="0"/>
        <v>2.9855575766167362E-4</v>
      </c>
      <c r="D13" s="281"/>
      <c r="E13" s="378">
        <f t="shared" si="1"/>
        <v>0</v>
      </c>
      <c r="F13" s="281">
        <v>17007.260000000002</v>
      </c>
      <c r="G13" s="378">
        <f t="shared" si="2"/>
        <v>1.1405192935224692E-5</v>
      </c>
      <c r="H13" s="281"/>
      <c r="I13" s="378">
        <f t="shared" si="3"/>
        <v>0</v>
      </c>
      <c r="J13" s="281"/>
      <c r="K13" s="378">
        <f t="shared" si="4"/>
        <v>0</v>
      </c>
      <c r="L13" s="281"/>
      <c r="M13" s="378">
        <f t="shared" si="5"/>
        <v>0</v>
      </c>
      <c r="N13" s="281">
        <v>0</v>
      </c>
      <c r="O13" s="378">
        <f t="shared" si="6"/>
        <v>0</v>
      </c>
      <c r="P13" s="281">
        <f t="shared" si="7"/>
        <v>378503.31</v>
      </c>
      <c r="Q13" s="378">
        <f t="shared" si="8"/>
        <v>8.9461198628260381E-5</v>
      </c>
      <c r="R13" s="378">
        <v>4.5524708478806539E-5</v>
      </c>
    </row>
    <row r="14" spans="1:18" s="267" customFormat="1" x14ac:dyDescent="0.3">
      <c r="A14" s="159" t="s">
        <v>199</v>
      </c>
      <c r="B14" s="281"/>
      <c r="C14" s="378">
        <f t="shared" si="0"/>
        <v>0</v>
      </c>
      <c r="D14" s="281"/>
      <c r="E14" s="378">
        <f t="shared" si="1"/>
        <v>0</v>
      </c>
      <c r="F14" s="281">
        <v>210290.06</v>
      </c>
      <c r="G14" s="378">
        <f t="shared" si="2"/>
        <v>1.4102205215066837E-4</v>
      </c>
      <c r="H14" s="281">
        <v>36726.83</v>
      </c>
      <c r="I14" s="378">
        <f t="shared" si="3"/>
        <v>3.4492182136843355E-5</v>
      </c>
      <c r="J14" s="281"/>
      <c r="K14" s="378">
        <f t="shared" si="4"/>
        <v>0</v>
      </c>
      <c r="L14" s="281"/>
      <c r="M14" s="378">
        <f t="shared" si="5"/>
        <v>0</v>
      </c>
      <c r="N14" s="281"/>
      <c r="O14" s="378">
        <f t="shared" si="6"/>
        <v>0</v>
      </c>
      <c r="P14" s="281">
        <f t="shared" si="7"/>
        <v>247016.89</v>
      </c>
      <c r="Q14" s="378">
        <f t="shared" si="8"/>
        <v>5.8383708879124847E-5</v>
      </c>
      <c r="R14" s="378">
        <v>2.1583674743322498E-5</v>
      </c>
    </row>
    <row r="15" spans="1:18" s="267" customFormat="1" x14ac:dyDescent="0.3">
      <c r="A15" s="159" t="s">
        <v>207</v>
      </c>
      <c r="B15" s="281">
        <v>47820981.990000002</v>
      </c>
      <c r="C15" s="378">
        <f t="shared" si="0"/>
        <v>3.9494842364528465E-2</v>
      </c>
      <c r="D15" s="281">
        <v>1423356.45</v>
      </c>
      <c r="E15" s="378">
        <f t="shared" si="1"/>
        <v>8.8772731344616412E-3</v>
      </c>
      <c r="F15" s="281">
        <v>110287271.87</v>
      </c>
      <c r="G15" s="378">
        <f t="shared" si="2"/>
        <v>7.3959451080122765E-2</v>
      </c>
      <c r="H15" s="281">
        <v>95709765.379999995</v>
      </c>
      <c r="I15" s="378">
        <f t="shared" si="3"/>
        <v>8.9886294563443256E-2</v>
      </c>
      <c r="J15" s="281">
        <v>32287412.27</v>
      </c>
      <c r="K15" s="378">
        <f t="shared" si="4"/>
        <v>0.11616536976279883</v>
      </c>
      <c r="L15" s="281">
        <v>110570.16</v>
      </c>
      <c r="M15" s="378">
        <f t="shared" si="5"/>
        <v>7.5660481328512974E-3</v>
      </c>
      <c r="N15" s="281"/>
      <c r="O15" s="378">
        <f t="shared" si="6"/>
        <v>0</v>
      </c>
      <c r="P15" s="281">
        <f t="shared" si="7"/>
        <v>287639358.12</v>
      </c>
      <c r="Q15" s="378">
        <f t="shared" si="8"/>
        <v>6.7985037568307233E-2</v>
      </c>
      <c r="R15" s="378">
        <v>6.790696957784545E-2</v>
      </c>
    </row>
    <row r="16" spans="1:18" s="267" customFormat="1" x14ac:dyDescent="0.3">
      <c r="A16" s="159" t="s">
        <v>208</v>
      </c>
      <c r="B16" s="281">
        <v>298911640.5</v>
      </c>
      <c r="C16" s="378">
        <f t="shared" si="0"/>
        <v>0.24686795693444316</v>
      </c>
      <c r="D16" s="281">
        <v>13267212.890000001</v>
      </c>
      <c r="E16" s="378">
        <f t="shared" si="1"/>
        <v>8.2745732846877668E-2</v>
      </c>
      <c r="F16" s="281">
        <v>287973772.52999997</v>
      </c>
      <c r="G16" s="378">
        <f t="shared" si="2"/>
        <v>0.19311731789771883</v>
      </c>
      <c r="H16" s="281">
        <v>175749530.13999999</v>
      </c>
      <c r="I16" s="378">
        <f t="shared" si="3"/>
        <v>0.16505603135510255</v>
      </c>
      <c r="J16" s="281">
        <v>59966253.049999997</v>
      </c>
      <c r="K16" s="378">
        <f t="shared" si="4"/>
        <v>0.21574977581326041</v>
      </c>
      <c r="L16" s="281">
        <v>2055052.59</v>
      </c>
      <c r="M16" s="378">
        <f t="shared" si="5"/>
        <v>0.1406222692585479</v>
      </c>
      <c r="N16" s="281">
        <v>310692.90000000002</v>
      </c>
      <c r="O16" s="378">
        <f t="shared" si="6"/>
        <v>2.7645963959401294E-2</v>
      </c>
      <c r="P16" s="281">
        <f t="shared" si="7"/>
        <v>838234154.5999999</v>
      </c>
      <c r="Q16" s="378">
        <f t="shared" si="8"/>
        <v>0.19812094166802005</v>
      </c>
      <c r="R16" s="378">
        <v>0.19272141225323136</v>
      </c>
    </row>
    <row r="17" spans="1:18" s="267" customFormat="1" x14ac:dyDescent="0.3">
      <c r="A17" s="159" t="s">
        <v>209</v>
      </c>
      <c r="B17" s="281">
        <v>19947224.91</v>
      </c>
      <c r="C17" s="378">
        <f t="shared" si="0"/>
        <v>1.6474201713276976E-2</v>
      </c>
      <c r="D17" s="281">
        <v>1186702.19</v>
      </c>
      <c r="E17" s="378">
        <f t="shared" si="1"/>
        <v>7.4012939414394713E-3</v>
      </c>
      <c r="F17" s="281">
        <v>22247362.649999999</v>
      </c>
      <c r="G17" s="378">
        <f t="shared" si="2"/>
        <v>1.4919244094766682E-2</v>
      </c>
      <c r="H17" s="281">
        <v>18443686.02</v>
      </c>
      <c r="I17" s="378">
        <f t="shared" si="3"/>
        <v>1.7321477989703755E-2</v>
      </c>
      <c r="J17" s="281">
        <v>4697065.78</v>
      </c>
      <c r="K17" s="378">
        <f t="shared" si="4"/>
        <v>1.6899353177364101E-2</v>
      </c>
      <c r="L17" s="281">
        <v>276745.34000000003</v>
      </c>
      <c r="M17" s="378">
        <f t="shared" si="5"/>
        <v>1.8937013051100744E-2</v>
      </c>
      <c r="N17" s="281"/>
      <c r="O17" s="378">
        <f t="shared" si="6"/>
        <v>0</v>
      </c>
      <c r="P17" s="281">
        <f t="shared" si="7"/>
        <v>66798786.890000001</v>
      </c>
      <c r="Q17" s="378">
        <f t="shared" si="8"/>
        <v>1.5788235886479103E-2</v>
      </c>
      <c r="R17" s="378">
        <v>1.4302554995881532E-2</v>
      </c>
    </row>
    <row r="18" spans="1:18" s="111" customFormat="1" x14ac:dyDescent="0.3">
      <c r="A18" s="159" t="s">
        <v>210</v>
      </c>
      <c r="B18" s="295">
        <v>1206.8</v>
      </c>
      <c r="C18" s="378">
        <f t="shared" si="0"/>
        <v>9.9668333401183159E-7</v>
      </c>
      <c r="D18" s="295"/>
      <c r="E18" s="378">
        <f t="shared" si="1"/>
        <v>0</v>
      </c>
      <c r="F18" s="295"/>
      <c r="G18" s="378">
        <f t="shared" si="2"/>
        <v>0</v>
      </c>
      <c r="H18" s="295"/>
      <c r="I18" s="378">
        <f t="shared" si="3"/>
        <v>0</v>
      </c>
      <c r="J18" s="295"/>
      <c r="K18" s="378">
        <f t="shared" si="4"/>
        <v>0</v>
      </c>
      <c r="L18" s="295"/>
      <c r="M18" s="378">
        <f t="shared" si="5"/>
        <v>0</v>
      </c>
      <c r="N18" s="295"/>
      <c r="O18" s="378">
        <f t="shared" si="6"/>
        <v>0</v>
      </c>
      <c r="P18" s="295">
        <f t="shared" si="7"/>
        <v>1206.8</v>
      </c>
      <c r="Q18" s="378">
        <f t="shared" si="8"/>
        <v>2.8523336956969971E-7</v>
      </c>
      <c r="R18" s="378">
        <v>0</v>
      </c>
    </row>
    <row r="19" spans="1:18" s="111" customFormat="1" x14ac:dyDescent="0.3">
      <c r="A19" s="159" t="s">
        <v>211</v>
      </c>
      <c r="B19" s="295">
        <v>0</v>
      </c>
      <c r="C19" s="378">
        <f t="shared" si="0"/>
        <v>0</v>
      </c>
      <c r="D19" s="295">
        <v>0</v>
      </c>
      <c r="E19" s="378">
        <f t="shared" si="1"/>
        <v>0</v>
      </c>
      <c r="F19" s="295">
        <v>0</v>
      </c>
      <c r="G19" s="378">
        <f t="shared" si="2"/>
        <v>0</v>
      </c>
      <c r="H19" s="295">
        <v>0</v>
      </c>
      <c r="I19" s="378">
        <f t="shared" si="3"/>
        <v>0</v>
      </c>
      <c r="J19" s="295">
        <v>0</v>
      </c>
      <c r="K19" s="378">
        <f t="shared" si="4"/>
        <v>0</v>
      </c>
      <c r="L19" s="295">
        <v>0</v>
      </c>
      <c r="M19" s="378">
        <f t="shared" si="5"/>
        <v>0</v>
      </c>
      <c r="N19" s="295">
        <v>0</v>
      </c>
      <c r="O19" s="378">
        <f t="shared" si="6"/>
        <v>0</v>
      </c>
      <c r="P19" s="295">
        <f t="shared" si="7"/>
        <v>0</v>
      </c>
      <c r="Q19" s="378">
        <f t="shared" si="8"/>
        <v>0</v>
      </c>
      <c r="R19" s="378">
        <v>0</v>
      </c>
    </row>
    <row r="20" spans="1:18" s="267" customFormat="1" x14ac:dyDescent="0.3">
      <c r="A20" s="159" t="s">
        <v>212</v>
      </c>
      <c r="B20" s="281"/>
      <c r="C20" s="378">
        <f t="shared" si="0"/>
        <v>0</v>
      </c>
      <c r="D20" s="281"/>
      <c r="E20" s="378">
        <f t="shared" si="1"/>
        <v>0</v>
      </c>
      <c r="F20" s="281">
        <v>2011976.52</v>
      </c>
      <c r="G20" s="378">
        <f t="shared" si="2"/>
        <v>1.3492461685034483E-3</v>
      </c>
      <c r="H20" s="281"/>
      <c r="I20" s="378">
        <f t="shared" si="3"/>
        <v>0</v>
      </c>
      <c r="J20" s="281"/>
      <c r="K20" s="378">
        <f t="shared" si="4"/>
        <v>0</v>
      </c>
      <c r="L20" s="281"/>
      <c r="M20" s="378">
        <f t="shared" si="5"/>
        <v>0</v>
      </c>
      <c r="N20" s="281"/>
      <c r="O20" s="378">
        <f t="shared" si="6"/>
        <v>0</v>
      </c>
      <c r="P20" s="281">
        <f t="shared" si="7"/>
        <v>2011976.52</v>
      </c>
      <c r="Q20" s="378">
        <f t="shared" si="8"/>
        <v>4.7554096975034664E-4</v>
      </c>
      <c r="R20" s="378">
        <v>4.9265002723583367E-4</v>
      </c>
    </row>
    <row r="21" spans="1:18" s="267" customFormat="1" x14ac:dyDescent="0.3">
      <c r="A21" s="159" t="s">
        <v>213</v>
      </c>
      <c r="B21" s="281">
        <v>3518182.5</v>
      </c>
      <c r="C21" s="378">
        <f t="shared" si="0"/>
        <v>2.9056296517750088E-3</v>
      </c>
      <c r="D21" s="281">
        <v>857.09</v>
      </c>
      <c r="E21" s="378">
        <f t="shared" si="1"/>
        <v>5.345549268994234E-6</v>
      </c>
      <c r="F21" s="281">
        <v>469261.61</v>
      </c>
      <c r="G21" s="378">
        <f t="shared" si="2"/>
        <v>3.1469026751776381E-4</v>
      </c>
      <c r="H21" s="281">
        <v>114511.28</v>
      </c>
      <c r="I21" s="378">
        <f t="shared" si="3"/>
        <v>1.0754382903406224E-4</v>
      </c>
      <c r="J21" s="281">
        <v>55110.54</v>
      </c>
      <c r="K21" s="378">
        <f t="shared" si="4"/>
        <v>1.9827963304683619E-4</v>
      </c>
      <c r="L21" s="281">
        <v>12613.45</v>
      </c>
      <c r="M21" s="378">
        <f t="shared" si="5"/>
        <v>8.6310782060289315E-4</v>
      </c>
      <c r="N21" s="281"/>
      <c r="O21" s="378">
        <f t="shared" si="6"/>
        <v>0</v>
      </c>
      <c r="P21" s="281">
        <f t="shared" si="7"/>
        <v>4170536.4699999997</v>
      </c>
      <c r="Q21" s="378">
        <f t="shared" si="8"/>
        <v>9.8572768499454832E-4</v>
      </c>
      <c r="R21" s="378">
        <v>1.26647813044022E-3</v>
      </c>
    </row>
    <row r="22" spans="1:18" s="267" customFormat="1" x14ac:dyDescent="0.3">
      <c r="A22" s="159" t="s">
        <v>214</v>
      </c>
      <c r="B22" s="281">
        <v>388951.81</v>
      </c>
      <c r="C22" s="378">
        <f t="shared" si="0"/>
        <v>3.2123117895321217E-4</v>
      </c>
      <c r="D22" s="281"/>
      <c r="E22" s="378">
        <f t="shared" si="1"/>
        <v>0</v>
      </c>
      <c r="F22" s="281">
        <v>102640.59</v>
      </c>
      <c r="G22" s="378">
        <f t="shared" si="2"/>
        <v>6.88315302956087E-5</v>
      </c>
      <c r="H22" s="281">
        <v>234709.91</v>
      </c>
      <c r="I22" s="378">
        <f t="shared" si="3"/>
        <v>2.2042896065470698E-4</v>
      </c>
      <c r="J22" s="281">
        <v>68333.69</v>
      </c>
      <c r="K22" s="378">
        <f t="shared" si="4"/>
        <v>2.4585458567338045E-4</v>
      </c>
      <c r="L22" s="281">
        <v>71340.31</v>
      </c>
      <c r="M22" s="378">
        <f t="shared" si="5"/>
        <v>4.8816445528570519E-3</v>
      </c>
      <c r="N22" s="281"/>
      <c r="O22" s="378">
        <f t="shared" si="6"/>
        <v>0</v>
      </c>
      <c r="P22" s="281">
        <f t="shared" si="7"/>
        <v>865976.31</v>
      </c>
      <c r="Q22" s="378">
        <f t="shared" si="8"/>
        <v>2.0467794238385387E-4</v>
      </c>
      <c r="R22" s="378">
        <v>2.1773090642223644E-4</v>
      </c>
    </row>
    <row r="23" spans="1:18" s="267" customFormat="1" x14ac:dyDescent="0.3">
      <c r="A23" s="159" t="s">
        <v>215</v>
      </c>
      <c r="B23" s="281">
        <v>709943.98</v>
      </c>
      <c r="C23" s="378">
        <f t="shared" si="0"/>
        <v>5.8633521125955337E-4</v>
      </c>
      <c r="D23" s="281">
        <v>17058.13</v>
      </c>
      <c r="E23" s="378">
        <f t="shared" si="1"/>
        <v>1.0638914740798355E-4</v>
      </c>
      <c r="F23" s="281">
        <v>35178489.850000001</v>
      </c>
      <c r="G23" s="378">
        <f t="shared" si="2"/>
        <v>2.3590952564322146E-2</v>
      </c>
      <c r="H23" s="281">
        <v>46399097.359999999</v>
      </c>
      <c r="I23" s="378">
        <f t="shared" si="3"/>
        <v>4.3575939364389679E-2</v>
      </c>
      <c r="J23" s="281">
        <v>7726735.6699999999</v>
      </c>
      <c r="K23" s="378">
        <f t="shared" si="4"/>
        <v>2.7799660705511139E-2</v>
      </c>
      <c r="L23" s="281">
        <v>260.5</v>
      </c>
      <c r="M23" s="378">
        <f t="shared" si="5"/>
        <v>1.7825383798013522E-5</v>
      </c>
      <c r="N23" s="281">
        <v>956.73</v>
      </c>
      <c r="O23" s="378">
        <f t="shared" si="6"/>
        <v>8.5131404994700545E-5</v>
      </c>
      <c r="P23" s="281">
        <f t="shared" si="7"/>
        <v>90032542.219999999</v>
      </c>
      <c r="Q23" s="378">
        <f t="shared" si="8"/>
        <v>2.1279653122586055E-2</v>
      </c>
      <c r="R23" s="378">
        <v>2.1579346772266094E-2</v>
      </c>
    </row>
    <row r="24" spans="1:18" s="267" customFormat="1" x14ac:dyDescent="0.3">
      <c r="A24" s="159" t="s">
        <v>216</v>
      </c>
      <c r="B24" s="281">
        <v>52936152.359999999</v>
      </c>
      <c r="C24" s="378">
        <f t="shared" si="0"/>
        <v>4.3719407378126518E-2</v>
      </c>
      <c r="D24" s="281">
        <v>6899754.4900000002</v>
      </c>
      <c r="E24" s="378">
        <f t="shared" si="1"/>
        <v>4.3032794187610621E-2</v>
      </c>
      <c r="F24" s="281">
        <v>12768955.060000001</v>
      </c>
      <c r="G24" s="378">
        <f t="shared" si="2"/>
        <v>8.5629546464576628E-3</v>
      </c>
      <c r="H24" s="281">
        <v>6731390.4800000004</v>
      </c>
      <c r="I24" s="378">
        <f t="shared" si="3"/>
        <v>6.3218183129437923E-3</v>
      </c>
      <c r="J24" s="281">
        <v>2137370.39</v>
      </c>
      <c r="K24" s="378">
        <f t="shared" si="4"/>
        <v>7.6899449109802433E-3</v>
      </c>
      <c r="L24" s="281">
        <v>85747</v>
      </c>
      <c r="M24" s="378">
        <f t="shared" si="5"/>
        <v>5.8674594415672379E-3</v>
      </c>
      <c r="N24" s="281">
        <v>124517.36</v>
      </c>
      <c r="O24" s="378">
        <f t="shared" si="6"/>
        <v>1.1079758973828485E-2</v>
      </c>
      <c r="P24" s="281">
        <f t="shared" si="7"/>
        <v>81683887.140000001</v>
      </c>
      <c r="Q24" s="378">
        <f t="shared" si="8"/>
        <v>1.9306405674919841E-2</v>
      </c>
      <c r="R24" s="378">
        <v>2.060047833822503E-2</v>
      </c>
    </row>
    <row r="25" spans="1:18" s="267" customFormat="1" x14ac:dyDescent="0.3">
      <c r="A25" s="159" t="s">
        <v>200</v>
      </c>
      <c r="B25" s="281">
        <v>1650.77</v>
      </c>
      <c r="C25" s="378">
        <f t="shared" si="0"/>
        <v>1.3633534531709573E-6</v>
      </c>
      <c r="D25" s="281">
        <v>199.96</v>
      </c>
      <c r="E25" s="378">
        <f t="shared" si="1"/>
        <v>1.2471222763398093E-6</v>
      </c>
      <c r="F25" s="281">
        <v>486.38</v>
      </c>
      <c r="G25" s="378">
        <f t="shared" si="2"/>
        <v>3.261699850437157E-7</v>
      </c>
      <c r="H25" s="281">
        <v>419.73</v>
      </c>
      <c r="I25" s="378">
        <f t="shared" si="3"/>
        <v>3.9419148367276083E-7</v>
      </c>
      <c r="J25" s="281">
        <v>-54.26</v>
      </c>
      <c r="K25" s="378">
        <f t="shared" si="4"/>
        <v>-1.9521951498064308E-7</v>
      </c>
      <c r="L25" s="281"/>
      <c r="M25" s="378">
        <f t="shared" si="5"/>
        <v>0</v>
      </c>
      <c r="N25" s="281"/>
      <c r="O25" s="378">
        <f t="shared" si="6"/>
        <v>0</v>
      </c>
      <c r="P25" s="281">
        <f t="shared" si="7"/>
        <v>2702.58</v>
      </c>
      <c r="Q25" s="378">
        <f t="shared" si="8"/>
        <v>6.3876864429207739E-7</v>
      </c>
      <c r="R25" s="378">
        <v>1.0788724048031381E-5</v>
      </c>
    </row>
    <row r="26" spans="1:18" s="267" customFormat="1" x14ac:dyDescent="0.3">
      <c r="A26" s="159" t="s">
        <v>217</v>
      </c>
      <c r="B26" s="281">
        <v>171017.09</v>
      </c>
      <c r="C26" s="378">
        <f t="shared" si="0"/>
        <v>1.4124120271312681E-4</v>
      </c>
      <c r="D26" s="281">
        <v>4032.69</v>
      </c>
      <c r="E26" s="378">
        <f t="shared" si="1"/>
        <v>2.5151317926449216E-5</v>
      </c>
      <c r="F26" s="281">
        <v>43444100.729999997</v>
      </c>
      <c r="G26" s="378">
        <f t="shared" si="2"/>
        <v>2.9133931669356836E-2</v>
      </c>
      <c r="H26" s="281">
        <v>36346764.93</v>
      </c>
      <c r="I26" s="378">
        <f t="shared" si="3"/>
        <v>3.4135242166301601E-2</v>
      </c>
      <c r="J26" s="281">
        <v>12894589.34</v>
      </c>
      <c r="K26" s="378">
        <f t="shared" si="4"/>
        <v>4.6392839602457991E-2</v>
      </c>
      <c r="L26" s="281">
        <v>1081.25</v>
      </c>
      <c r="M26" s="378">
        <f t="shared" si="5"/>
        <v>7.3987317587724072E-5</v>
      </c>
      <c r="N26" s="281"/>
      <c r="O26" s="378">
        <f t="shared" si="6"/>
        <v>0</v>
      </c>
      <c r="P26" s="281">
        <f t="shared" si="7"/>
        <v>92861586.030000001</v>
      </c>
      <c r="Q26" s="378">
        <f t="shared" si="8"/>
        <v>2.1948312136993251E-2</v>
      </c>
      <c r="R26" s="378">
        <v>2.0483070298625217E-2</v>
      </c>
    </row>
    <row r="27" spans="1:18" s="267" customFormat="1" x14ac:dyDescent="0.3">
      <c r="A27" s="159" t="s">
        <v>218</v>
      </c>
      <c r="B27" s="285">
        <v>27983804.780000001</v>
      </c>
      <c r="C27" s="379">
        <f t="shared" si="0"/>
        <v>2.311152788073138E-2</v>
      </c>
      <c r="D27" s="285">
        <v>6284466.2000000002</v>
      </c>
      <c r="E27" s="379">
        <f t="shared" si="1"/>
        <v>3.9195328030229001E-2</v>
      </c>
      <c r="F27" s="285">
        <v>31265625.449999999</v>
      </c>
      <c r="G27" s="379">
        <f t="shared" si="2"/>
        <v>2.0966957081723997E-2</v>
      </c>
      <c r="H27" s="285">
        <v>19257619.109999999</v>
      </c>
      <c r="I27" s="379">
        <f t="shared" si="3"/>
        <v>1.8085887234593218E-2</v>
      </c>
      <c r="J27" s="285">
        <v>6580282.1200000001</v>
      </c>
      <c r="K27" s="379">
        <f t="shared" si="4"/>
        <v>2.3674889124625838E-2</v>
      </c>
      <c r="L27" s="285">
        <v>37927.35</v>
      </c>
      <c r="M27" s="379">
        <f t="shared" si="5"/>
        <v>2.5952766610041773E-3</v>
      </c>
      <c r="N27" s="285">
        <v>10321116.699999999</v>
      </c>
      <c r="O27" s="379">
        <f t="shared" si="6"/>
        <v>0.91838989661165338</v>
      </c>
      <c r="P27" s="285">
        <f t="shared" si="7"/>
        <v>101730841.71000001</v>
      </c>
      <c r="Q27" s="379">
        <f t="shared" si="8"/>
        <v>2.4044606206583573E-2</v>
      </c>
      <c r="R27" s="379">
        <v>2.4367927089591845E-2</v>
      </c>
    </row>
    <row r="28" spans="1:18" s="267" customFormat="1" x14ac:dyDescent="0.3">
      <c r="A28" s="157" t="s">
        <v>1</v>
      </c>
      <c r="B28" s="270">
        <f>SUM(B7:B27)</f>
        <v>1084740967.0699999</v>
      </c>
      <c r="C28" s="380">
        <f t="shared" si="0"/>
        <v>0.8958760719245491</v>
      </c>
      <c r="D28" s="270">
        <f t="shared" ref="D28:N28" si="9">SUM(D7:D27)</f>
        <v>149098360.47000003</v>
      </c>
      <c r="E28" s="380">
        <f t="shared" si="1"/>
        <v>0.92990541462232379</v>
      </c>
      <c r="F28" s="270">
        <f t="shared" si="9"/>
        <v>1090435598.1899998</v>
      </c>
      <c r="G28" s="380">
        <f t="shared" si="2"/>
        <v>0.73125408683080606</v>
      </c>
      <c r="H28" s="270">
        <f t="shared" si="9"/>
        <v>911238198.45999992</v>
      </c>
      <c r="I28" s="380">
        <f t="shared" si="3"/>
        <v>0.85579381371415209</v>
      </c>
      <c r="J28" s="270">
        <f t="shared" si="9"/>
        <v>223375845.05999997</v>
      </c>
      <c r="K28" s="380">
        <f t="shared" si="4"/>
        <v>0.80367350038710794</v>
      </c>
      <c r="L28" s="270">
        <f t="shared" si="9"/>
        <v>14353715.380000001</v>
      </c>
      <c r="M28" s="380">
        <f t="shared" si="5"/>
        <v>0.98218996382322277</v>
      </c>
      <c r="N28" s="270">
        <f t="shared" si="9"/>
        <v>11111307.949999999</v>
      </c>
      <c r="O28" s="380">
        <f t="shared" si="6"/>
        <v>0.98870241041075935</v>
      </c>
      <c r="P28" s="270">
        <f>SUM(P7:P27)</f>
        <v>3484353992.5799994</v>
      </c>
      <c r="Q28" s="380">
        <f t="shared" si="8"/>
        <v>0.82354493708752874</v>
      </c>
      <c r="R28" s="380">
        <v>0.81231793732689173</v>
      </c>
    </row>
    <row r="29" spans="1:18" s="267" customFormat="1" x14ac:dyDescent="0.3">
      <c r="A29" s="157"/>
      <c r="B29" s="281"/>
      <c r="C29" s="380"/>
      <c r="D29" s="281"/>
      <c r="E29" s="380"/>
      <c r="F29" s="281"/>
      <c r="G29" s="380"/>
      <c r="H29" s="281"/>
      <c r="I29" s="380"/>
      <c r="J29" s="281"/>
      <c r="K29" s="380"/>
      <c r="L29" s="281"/>
      <c r="M29" s="380"/>
      <c r="N29" s="281"/>
      <c r="O29" s="380"/>
      <c r="P29" s="281"/>
      <c r="Q29" s="380"/>
      <c r="R29" s="380"/>
    </row>
    <row r="30" spans="1:18" s="267" customFormat="1" x14ac:dyDescent="0.3">
      <c r="A30" s="31" t="s">
        <v>165</v>
      </c>
      <c r="B30" s="281"/>
      <c r="C30" s="378"/>
      <c r="D30" s="281"/>
      <c r="E30" s="378"/>
      <c r="F30" s="281"/>
      <c r="G30" s="378"/>
      <c r="H30" s="281"/>
      <c r="I30" s="378"/>
      <c r="J30" s="281"/>
      <c r="K30" s="378"/>
      <c r="L30" s="281"/>
      <c r="M30" s="378"/>
      <c r="N30" s="281"/>
      <c r="O30" s="378"/>
      <c r="P30" s="281"/>
      <c r="Q30" s="378"/>
      <c r="R30" s="378"/>
    </row>
    <row r="31" spans="1:18" s="267" customFormat="1" x14ac:dyDescent="0.3">
      <c r="A31" s="158" t="s">
        <v>166</v>
      </c>
      <c r="B31" s="295">
        <v>5776</v>
      </c>
      <c r="C31" s="378">
        <f t="shared" si="0"/>
        <v>4.770337203556794E-6</v>
      </c>
      <c r="D31" s="295"/>
      <c r="E31" s="378">
        <f t="shared" si="1"/>
        <v>0</v>
      </c>
      <c r="F31" s="295"/>
      <c r="G31" s="378">
        <f t="shared" si="2"/>
        <v>0</v>
      </c>
      <c r="H31" s="295"/>
      <c r="I31" s="378">
        <f t="shared" si="3"/>
        <v>0</v>
      </c>
      <c r="J31" s="295"/>
      <c r="K31" s="378">
        <f t="shared" si="4"/>
        <v>0</v>
      </c>
      <c r="L31" s="295"/>
      <c r="M31" s="378">
        <f t="shared" si="5"/>
        <v>0</v>
      </c>
      <c r="N31" s="295"/>
      <c r="O31" s="378">
        <f t="shared" si="6"/>
        <v>0</v>
      </c>
      <c r="P31" s="295">
        <f t="shared" ref="P31:P33" si="10">SUM(B31,D31,F31,H31,J31,L31,N31)</f>
        <v>5776</v>
      </c>
      <c r="Q31" s="378">
        <f t="shared" si="8"/>
        <v>1.365187224589481E-6</v>
      </c>
      <c r="R31" s="378">
        <v>0</v>
      </c>
    </row>
    <row r="32" spans="1:18" s="267" customFormat="1" x14ac:dyDescent="0.3">
      <c r="A32" s="158" t="s">
        <v>167</v>
      </c>
      <c r="B32" s="281">
        <v>2631000.4</v>
      </c>
      <c r="C32" s="378">
        <f t="shared" si="0"/>
        <v>2.1729153550368433E-3</v>
      </c>
      <c r="D32" s="281">
        <v>177404.79999999882</v>
      </c>
      <c r="E32" s="378">
        <f t="shared" si="1"/>
        <v>1.1064486797839924E-3</v>
      </c>
      <c r="F32" s="295">
        <v>43645.599999999991</v>
      </c>
      <c r="G32" s="378">
        <f t="shared" si="2"/>
        <v>2.9269058553443802E-5</v>
      </c>
      <c r="H32" s="281">
        <v>13131.199999999995</v>
      </c>
      <c r="I32" s="378">
        <f t="shared" si="3"/>
        <v>1.2332230744535188E-5</v>
      </c>
      <c r="J32" s="281">
        <v>1291.2</v>
      </c>
      <c r="K32" s="378">
        <f t="shared" si="4"/>
        <v>4.6455480601364978E-6</v>
      </c>
      <c r="L32" s="281">
        <v>10341.799999999999</v>
      </c>
      <c r="M32" s="378">
        <f t="shared" si="5"/>
        <v>7.0766431540228881E-4</v>
      </c>
      <c r="N32" s="281">
        <v>126965.40000000074</v>
      </c>
      <c r="O32" s="378">
        <f t="shared" si="6"/>
        <v>1.1297589589240658E-2</v>
      </c>
      <c r="P32" s="281">
        <f t="shared" si="10"/>
        <v>3003780.4</v>
      </c>
      <c r="Q32" s="378">
        <f t="shared" si="8"/>
        <v>7.099589036620985E-4</v>
      </c>
      <c r="R32" s="378">
        <v>4.7065591186480014E-4</v>
      </c>
    </row>
    <row r="33" spans="1:18" s="267" customFormat="1" x14ac:dyDescent="0.3">
      <c r="A33" s="159" t="s">
        <v>197</v>
      </c>
      <c r="B33" s="285">
        <v>123438128.34999999</v>
      </c>
      <c r="C33" s="379">
        <f t="shared" si="0"/>
        <v>0.10194624238321046</v>
      </c>
      <c r="D33" s="285">
        <v>11061359.48</v>
      </c>
      <c r="E33" s="379">
        <f t="shared" si="1"/>
        <v>6.8988136697892222E-2</v>
      </c>
      <c r="F33" s="285">
        <v>400706402.66000003</v>
      </c>
      <c r="G33" s="379">
        <f t="shared" si="2"/>
        <v>0.2687166441106405</v>
      </c>
      <c r="H33" s="285">
        <v>153535753.22999999</v>
      </c>
      <c r="I33" s="379">
        <f t="shared" si="3"/>
        <v>0.14419385405510346</v>
      </c>
      <c r="J33" s="285">
        <v>54566388.009999998</v>
      </c>
      <c r="K33" s="379">
        <f t="shared" si="4"/>
        <v>0.19632185406483191</v>
      </c>
      <c r="L33" s="285">
        <v>249933.91</v>
      </c>
      <c r="M33" s="379">
        <f t="shared" si="5"/>
        <v>1.7102371861374931E-2</v>
      </c>
      <c r="N33" s="285"/>
      <c r="O33" s="379">
        <f t="shared" si="6"/>
        <v>0</v>
      </c>
      <c r="P33" s="285">
        <f t="shared" si="10"/>
        <v>743557965.63999999</v>
      </c>
      <c r="Q33" s="379">
        <f t="shared" si="8"/>
        <v>0.17574373882158453</v>
      </c>
      <c r="R33" s="379">
        <v>0.18721140676124354</v>
      </c>
    </row>
    <row r="34" spans="1:18" s="267" customFormat="1" x14ac:dyDescent="0.3">
      <c r="A34" s="31" t="s">
        <v>168</v>
      </c>
      <c r="B34" s="270">
        <f>SUM(B31:B33)</f>
        <v>126074904.75</v>
      </c>
      <c r="C34" s="380">
        <f t="shared" si="0"/>
        <v>0.10412392807545086</v>
      </c>
      <c r="D34" s="270">
        <f t="shared" ref="D34:N34" si="11">SUM(D31:D33)</f>
        <v>11238764.279999999</v>
      </c>
      <c r="E34" s="380">
        <f t="shared" si="1"/>
        <v>7.0094585377676211E-2</v>
      </c>
      <c r="F34" s="270">
        <f t="shared" si="11"/>
        <v>400750048.26000005</v>
      </c>
      <c r="G34" s="380">
        <f t="shared" si="2"/>
        <v>0.268745913169194</v>
      </c>
      <c r="H34" s="270">
        <f t="shared" si="11"/>
        <v>153548884.42999998</v>
      </c>
      <c r="I34" s="380">
        <f t="shared" si="3"/>
        <v>0.14420618628584797</v>
      </c>
      <c r="J34" s="270">
        <f t="shared" si="11"/>
        <v>54567679.210000001</v>
      </c>
      <c r="K34" s="380">
        <f t="shared" si="4"/>
        <v>0.19632649961289203</v>
      </c>
      <c r="L34" s="270">
        <f t="shared" si="11"/>
        <v>260275.71</v>
      </c>
      <c r="M34" s="380">
        <f t="shared" si="5"/>
        <v>1.7810036176777219E-2</v>
      </c>
      <c r="N34" s="270">
        <f t="shared" si="11"/>
        <v>126965.40000000074</v>
      </c>
      <c r="O34" s="380">
        <f t="shared" si="6"/>
        <v>1.1297589589240658E-2</v>
      </c>
      <c r="P34" s="270">
        <f>SUM(P31:P33)</f>
        <v>746567522.03999996</v>
      </c>
      <c r="Q34" s="380">
        <f t="shared" si="8"/>
        <v>0.17645506291247121</v>
      </c>
      <c r="R34" s="380">
        <v>0.18768206267310833</v>
      </c>
    </row>
    <row r="35" spans="1:18" s="267" customFormat="1" x14ac:dyDescent="0.3">
      <c r="A35" s="160"/>
      <c r="B35" s="281"/>
      <c r="C35" s="378"/>
      <c r="D35" s="281"/>
      <c r="E35" s="378"/>
      <c r="F35" s="281"/>
      <c r="G35" s="378"/>
      <c r="H35" s="281"/>
      <c r="I35" s="378"/>
      <c r="J35" s="281"/>
      <c r="K35" s="378"/>
      <c r="L35" s="281"/>
      <c r="M35" s="378"/>
      <c r="N35" s="281"/>
      <c r="O35" s="378"/>
      <c r="P35" s="281"/>
      <c r="Q35" s="378"/>
      <c r="R35" s="378"/>
    </row>
    <row r="36" spans="1:18" s="82" customFormat="1" x14ac:dyDescent="0.3">
      <c r="A36" s="161" t="s">
        <v>169</v>
      </c>
      <c r="B36" s="270">
        <f>B28+B34</f>
        <v>1210815871.8199999</v>
      </c>
      <c r="C36" s="381">
        <f t="shared" si="0"/>
        <v>1</v>
      </c>
      <c r="D36" s="270">
        <f t="shared" ref="D36:N36" si="12">D28+D34</f>
        <v>160337124.75000003</v>
      </c>
      <c r="E36" s="381">
        <f t="shared" si="1"/>
        <v>1</v>
      </c>
      <c r="F36" s="270">
        <f t="shared" si="12"/>
        <v>1491185646.4499998</v>
      </c>
      <c r="G36" s="381">
        <f t="shared" si="2"/>
        <v>1</v>
      </c>
      <c r="H36" s="270">
        <f t="shared" si="12"/>
        <v>1064787082.8899999</v>
      </c>
      <c r="I36" s="381">
        <f t="shared" si="3"/>
        <v>1</v>
      </c>
      <c r="J36" s="270">
        <f t="shared" si="12"/>
        <v>277943524.26999998</v>
      </c>
      <c r="K36" s="381">
        <f t="shared" si="4"/>
        <v>1</v>
      </c>
      <c r="L36" s="270">
        <f t="shared" si="12"/>
        <v>14613991.090000002</v>
      </c>
      <c r="M36" s="381">
        <f t="shared" si="5"/>
        <v>1</v>
      </c>
      <c r="N36" s="270">
        <f t="shared" si="12"/>
        <v>11238273.35</v>
      </c>
      <c r="O36" s="381">
        <f t="shared" si="6"/>
        <v>1</v>
      </c>
      <c r="P36" s="270">
        <f>P28+P34</f>
        <v>4230921514.6199994</v>
      </c>
      <c r="Q36" s="381">
        <f t="shared" si="8"/>
        <v>1</v>
      </c>
      <c r="R36" s="381">
        <v>1</v>
      </c>
    </row>
    <row r="37" spans="1:18" s="267" customFormat="1" x14ac:dyDescent="0.3">
      <c r="A37" s="161"/>
      <c r="B37" s="268"/>
      <c r="C37" s="268"/>
      <c r="D37" s="268"/>
      <c r="E37" s="268"/>
      <c r="F37" s="268"/>
      <c r="G37" s="268"/>
      <c r="H37" s="268"/>
      <c r="I37" s="382"/>
      <c r="J37" s="268"/>
      <c r="K37" s="268"/>
      <c r="L37" s="268"/>
      <c r="M37" s="268"/>
      <c r="N37" s="268"/>
      <c r="O37" s="268"/>
      <c r="P37" s="383"/>
    </row>
    <row r="38" spans="1:18" s="267" customFormat="1" x14ac:dyDescent="0.3">
      <c r="A38" s="161"/>
      <c r="B38" s="268"/>
      <c r="C38" s="268"/>
      <c r="D38" s="268"/>
      <c r="E38" s="268"/>
      <c r="F38" s="268"/>
      <c r="G38" s="268"/>
      <c r="H38" s="268"/>
      <c r="I38" s="382"/>
      <c r="J38" s="268"/>
      <c r="K38" s="268"/>
      <c r="L38" s="268"/>
      <c r="M38" s="268"/>
      <c r="N38" s="268"/>
      <c r="O38" s="268"/>
      <c r="P38" s="383"/>
    </row>
    <row r="39" spans="1:18" s="82" customFormat="1" x14ac:dyDescent="0.3">
      <c r="A39" s="161" t="s">
        <v>26</v>
      </c>
      <c r="B39" s="106">
        <v>355217</v>
      </c>
      <c r="C39" s="265"/>
      <c r="D39" s="106">
        <v>79132</v>
      </c>
      <c r="E39" s="265"/>
      <c r="F39" s="106">
        <v>827097</v>
      </c>
      <c r="G39" s="265"/>
      <c r="H39" s="106">
        <v>722925</v>
      </c>
      <c r="I39" s="382"/>
      <c r="J39" s="106">
        <v>257329</v>
      </c>
      <c r="K39" s="265"/>
      <c r="L39" s="106">
        <v>867</v>
      </c>
      <c r="M39" s="265"/>
      <c r="N39" s="106">
        <v>45380</v>
      </c>
      <c r="O39" s="265"/>
      <c r="P39" s="106">
        <v>1758419</v>
      </c>
    </row>
    <row r="40" spans="1:18" s="267" customFormat="1" x14ac:dyDescent="0.3">
      <c r="A40" s="31" t="s">
        <v>226</v>
      </c>
      <c r="B40" s="270">
        <f>B36/B39</f>
        <v>3408.6653280107653</v>
      </c>
      <c r="C40" s="270"/>
      <c r="D40" s="270">
        <f t="shared" ref="D40:L40" si="13">D36/D39</f>
        <v>2026.1983110498918</v>
      </c>
      <c r="E40" s="270"/>
      <c r="F40" s="270">
        <f t="shared" si="13"/>
        <v>1802.9150709650739</v>
      </c>
      <c r="G40" s="270"/>
      <c r="H40" s="270">
        <f t="shared" si="13"/>
        <v>1472.8873436248571</v>
      </c>
      <c r="I40" s="270"/>
      <c r="J40" s="270">
        <f t="shared" si="13"/>
        <v>1080.1096039311542</v>
      </c>
      <c r="K40" s="270"/>
      <c r="L40" s="270">
        <f t="shared" si="13"/>
        <v>16855.814405997695</v>
      </c>
      <c r="M40" s="270"/>
      <c r="N40" s="270">
        <f t="shared" ref="N40" si="14">N36/N39</f>
        <v>247.64815667695018</v>
      </c>
      <c r="O40" s="270"/>
      <c r="P40" s="270">
        <f t="shared" ref="P40" si="15">P36/P39</f>
        <v>2406.094062120575</v>
      </c>
    </row>
    <row r="41" spans="1:18" s="267" customFormat="1" x14ac:dyDescent="0.3">
      <c r="A41" s="266"/>
      <c r="B41" s="268"/>
      <c r="C41" s="268"/>
      <c r="D41" s="268"/>
      <c r="E41" s="268"/>
      <c r="F41" s="268"/>
      <c r="G41" s="268"/>
      <c r="H41" s="268"/>
      <c r="I41" s="268"/>
      <c r="J41" s="268"/>
      <c r="K41" s="268"/>
      <c r="L41" s="268"/>
      <c r="M41" s="268"/>
      <c r="N41" s="268"/>
      <c r="O41" s="268"/>
    </row>
    <row r="42" spans="1:18" s="55" customFormat="1" ht="13.5" x14ac:dyDescent="0.3">
      <c r="A42" s="163" t="s">
        <v>221</v>
      </c>
      <c r="B42" s="142"/>
      <c r="C42" s="384"/>
      <c r="D42" s="164"/>
      <c r="E42" s="137"/>
      <c r="F42" s="137"/>
      <c r="G42" s="137"/>
      <c r="H42" s="138"/>
      <c r="I42" s="139"/>
      <c r="J42" s="140"/>
    </row>
    <row r="43" spans="1:18" s="128" customFormat="1" ht="12" customHeight="1" x14ac:dyDescent="0.3">
      <c r="A43" s="457" t="s">
        <v>186</v>
      </c>
      <c r="B43" s="458"/>
      <c r="C43" s="458"/>
      <c r="D43" s="458"/>
      <c r="E43" s="458"/>
      <c r="F43" s="458"/>
      <c r="G43" s="458"/>
      <c r="H43" s="458"/>
      <c r="I43" s="458"/>
      <c r="J43" s="458"/>
      <c r="K43" s="458"/>
      <c r="L43" s="458"/>
      <c r="M43" s="458"/>
      <c r="N43" s="127"/>
      <c r="O43" s="127"/>
      <c r="P43" s="127"/>
    </row>
    <row r="44" spans="1:18" s="128" customFormat="1" ht="12" customHeight="1" x14ac:dyDescent="0.3">
      <c r="A44" s="243" t="s">
        <v>187</v>
      </c>
      <c r="B44" s="244"/>
      <c r="C44" s="244"/>
      <c r="D44" s="244"/>
      <c r="E44" s="244"/>
      <c r="F44" s="244"/>
      <c r="G44" s="244"/>
      <c r="H44" s="244"/>
      <c r="I44" s="244"/>
      <c r="J44" s="244"/>
      <c r="K44" s="244"/>
      <c r="L44" s="244"/>
      <c r="M44" s="244"/>
      <c r="N44" s="127"/>
      <c r="O44" s="127"/>
      <c r="P44" s="127"/>
    </row>
    <row r="45" spans="1:18" s="85" customFormat="1" ht="14.25" x14ac:dyDescent="0.3">
      <c r="A45" s="132"/>
      <c r="B45" s="385"/>
      <c r="E45" s="86"/>
    </row>
    <row r="46" spans="1:18" s="77" customFormat="1" ht="16.5" x14ac:dyDescent="0.3">
      <c r="A46" s="83"/>
      <c r="B46" s="78"/>
      <c r="C46" s="78"/>
      <c r="D46" s="78"/>
      <c r="E46" s="78"/>
      <c r="F46" s="78"/>
      <c r="G46" s="78"/>
      <c r="H46" s="78"/>
      <c r="I46" s="78"/>
      <c r="J46" s="78"/>
      <c r="K46" s="78"/>
      <c r="L46" s="78"/>
      <c r="M46" s="78"/>
      <c r="N46" s="78"/>
      <c r="O46" s="78"/>
    </row>
  </sheetData>
  <mergeCells count="5">
    <mergeCell ref="A1:R1"/>
    <mergeCell ref="A2:R2"/>
    <mergeCell ref="A3:R3"/>
    <mergeCell ref="A4:R4"/>
    <mergeCell ref="A43:M43"/>
  </mergeCells>
  <pageMargins left="0.7" right="0.7" top="0.75" bottom="0.75" header="0.3" footer="0.3"/>
  <ignoredErrors>
    <ignoredError sqref="C28:H34 I28:P28 C36:H36 D35:H35"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workbookViewId="0">
      <pane ySplit="6" topLeftCell="A7" activePane="bottomLeft" state="frozen"/>
      <selection pane="bottomLeft" activeCell="A7" sqref="A7"/>
    </sheetView>
  </sheetViews>
  <sheetFormatPr defaultRowHeight="15" x14ac:dyDescent="0.25"/>
  <cols>
    <col min="1" max="1" width="45.42578125" bestFit="1" customWidth="1"/>
    <col min="2" max="2" width="19.7109375" style="16" customWidth="1"/>
    <col min="3" max="3" width="19" style="16" customWidth="1"/>
    <col min="4" max="4" width="18.28515625" style="16" customWidth="1"/>
    <col min="5" max="5" width="14.28515625" style="16" bestFit="1" customWidth="1"/>
    <col min="6" max="6" width="11.5703125" style="16" bestFit="1" customWidth="1"/>
    <col min="7" max="18" width="9.140625" style="16"/>
  </cols>
  <sheetData>
    <row r="1" spans="1:18" s="149" customFormat="1" ht="18" x14ac:dyDescent="0.35">
      <c r="A1" s="461" t="s">
        <v>236</v>
      </c>
      <c r="B1" s="461"/>
      <c r="C1" s="461"/>
      <c r="D1" s="461"/>
      <c r="E1" s="386"/>
      <c r="F1" s="386"/>
      <c r="G1" s="386"/>
      <c r="H1" s="386"/>
      <c r="I1" s="386"/>
      <c r="J1" s="386"/>
      <c r="K1" s="386"/>
      <c r="L1" s="386"/>
      <c r="M1" s="386"/>
      <c r="N1" s="386"/>
      <c r="O1" s="386"/>
      <c r="P1" s="386"/>
      <c r="Q1" s="386"/>
      <c r="R1" s="386"/>
    </row>
    <row r="2" spans="1:18" s="149" customFormat="1" ht="18" x14ac:dyDescent="0.35">
      <c r="A2" s="462" t="s">
        <v>3</v>
      </c>
      <c r="B2" s="462"/>
      <c r="C2" s="462"/>
      <c r="D2" s="462"/>
      <c r="E2" s="387"/>
      <c r="F2" s="387"/>
      <c r="G2" s="387"/>
      <c r="H2" s="387"/>
      <c r="I2" s="387"/>
      <c r="J2" s="387"/>
      <c r="K2" s="387"/>
      <c r="L2" s="387"/>
      <c r="M2" s="387"/>
      <c r="N2" s="387"/>
      <c r="O2" s="387"/>
      <c r="P2" s="387"/>
      <c r="Q2" s="387"/>
      <c r="R2" s="387"/>
    </row>
    <row r="3" spans="1:18" s="149" customFormat="1" ht="18" x14ac:dyDescent="0.35">
      <c r="A3" s="461" t="s">
        <v>22</v>
      </c>
      <c r="B3" s="461"/>
      <c r="C3" s="461"/>
      <c r="D3" s="461"/>
      <c r="E3" s="386"/>
      <c r="F3" s="386"/>
      <c r="G3" s="386"/>
      <c r="H3" s="386"/>
      <c r="I3" s="386"/>
      <c r="J3" s="386"/>
      <c r="K3" s="386"/>
      <c r="L3" s="386"/>
      <c r="M3" s="386"/>
      <c r="N3" s="386"/>
      <c r="O3" s="386"/>
      <c r="P3" s="386"/>
      <c r="Q3" s="386"/>
      <c r="R3" s="386"/>
    </row>
    <row r="4" spans="1:18" s="149" customFormat="1" ht="18" x14ac:dyDescent="0.35">
      <c r="A4" s="461" t="s">
        <v>235</v>
      </c>
      <c r="B4" s="461"/>
      <c r="C4" s="461"/>
      <c r="D4" s="461"/>
      <c r="E4" s="386"/>
      <c r="F4" s="386"/>
      <c r="G4" s="386"/>
      <c r="H4" s="386"/>
      <c r="I4" s="386"/>
      <c r="J4" s="386"/>
      <c r="K4" s="386"/>
      <c r="L4" s="386"/>
      <c r="M4" s="386"/>
      <c r="N4" s="386"/>
      <c r="O4" s="386"/>
      <c r="P4" s="386"/>
      <c r="Q4" s="386"/>
      <c r="R4" s="386"/>
    </row>
    <row r="5" spans="1:18" ht="18" x14ac:dyDescent="0.35">
      <c r="A5" s="150"/>
      <c r="B5" s="107"/>
      <c r="C5" s="107"/>
      <c r="D5" s="8"/>
    </row>
    <row r="6" spans="1:18" ht="30" x14ac:dyDescent="0.3">
      <c r="A6" s="152" t="s">
        <v>5</v>
      </c>
      <c r="B6" s="155" t="s">
        <v>18</v>
      </c>
      <c r="C6" s="155" t="s">
        <v>19</v>
      </c>
      <c r="D6" s="155" t="s">
        <v>20</v>
      </c>
    </row>
    <row r="7" spans="1:18" ht="15.75" x14ac:dyDescent="0.3">
      <c r="A7" s="159" t="s">
        <v>201</v>
      </c>
      <c r="B7" s="281"/>
      <c r="C7" s="281">
        <v>32459850.079999998</v>
      </c>
      <c r="D7" s="281">
        <v>627112.28</v>
      </c>
    </row>
    <row r="8" spans="1:18" ht="15.75" x14ac:dyDescent="0.3">
      <c r="A8" s="159" t="s">
        <v>202</v>
      </c>
      <c r="B8" s="281">
        <v>39148269.710000001</v>
      </c>
      <c r="C8" s="281">
        <v>11222087.890000001</v>
      </c>
      <c r="D8" s="281">
        <v>417301.02</v>
      </c>
    </row>
    <row r="9" spans="1:18" ht="15.75" x14ac:dyDescent="0.3">
      <c r="A9" s="159" t="s">
        <v>203</v>
      </c>
      <c r="B9" s="295"/>
      <c r="C9" s="295"/>
      <c r="D9" s="295"/>
    </row>
    <row r="10" spans="1:18" ht="15.75" x14ac:dyDescent="0.3">
      <c r="A10" s="159" t="s">
        <v>198</v>
      </c>
      <c r="B10" s="281"/>
      <c r="C10" s="281">
        <v>115081.01000000001</v>
      </c>
      <c r="D10" s="281"/>
    </row>
    <row r="11" spans="1:18" ht="15.75" x14ac:dyDescent="0.3">
      <c r="A11" s="159" t="s">
        <v>204</v>
      </c>
      <c r="B11" s="281">
        <v>19288327.149999999</v>
      </c>
      <c r="C11" s="281">
        <v>18017842.850000001</v>
      </c>
      <c r="D11" s="281">
        <v>393104.54000000004</v>
      </c>
    </row>
    <row r="12" spans="1:18" ht="15.75" x14ac:dyDescent="0.3">
      <c r="A12" s="159" t="s">
        <v>205</v>
      </c>
      <c r="B12" s="281">
        <v>27026.48</v>
      </c>
      <c r="C12" s="281">
        <v>9329380.6500000004</v>
      </c>
      <c r="D12" s="281">
        <v>35269.919999999998</v>
      </c>
    </row>
    <row r="13" spans="1:18" ht="15.75" x14ac:dyDescent="0.3">
      <c r="A13" s="159" t="s">
        <v>206</v>
      </c>
      <c r="B13" s="281"/>
      <c r="C13" s="281">
        <v>2257373.86</v>
      </c>
      <c r="D13" s="281"/>
    </row>
    <row r="14" spans="1:18" ht="15.75" x14ac:dyDescent="0.3">
      <c r="A14" s="159" t="s">
        <v>199</v>
      </c>
      <c r="B14" s="281"/>
      <c r="C14" s="281"/>
      <c r="D14" s="281"/>
    </row>
    <row r="15" spans="1:18" ht="15.75" x14ac:dyDescent="0.3">
      <c r="A15" s="159" t="s">
        <v>207</v>
      </c>
      <c r="B15" s="281"/>
      <c r="C15" s="281">
        <v>4771430.88</v>
      </c>
      <c r="D15" s="281">
        <v>88123.77</v>
      </c>
    </row>
    <row r="16" spans="1:18" ht="15.75" x14ac:dyDescent="0.3">
      <c r="A16" s="159" t="s">
        <v>208</v>
      </c>
      <c r="B16" s="281"/>
      <c r="C16" s="281">
        <v>8156460.7699999996</v>
      </c>
      <c r="D16" s="281">
        <v>448632.99</v>
      </c>
    </row>
    <row r="17" spans="1:6" ht="15.75" x14ac:dyDescent="0.3">
      <c r="A17" s="159" t="s">
        <v>209</v>
      </c>
      <c r="B17" s="281"/>
      <c r="C17" s="281">
        <v>978946.06</v>
      </c>
      <c r="D17" s="281">
        <v>32811.65</v>
      </c>
    </row>
    <row r="18" spans="1:6" ht="15.75" x14ac:dyDescent="0.3">
      <c r="A18" s="159" t="s">
        <v>210</v>
      </c>
      <c r="B18" s="295"/>
      <c r="C18" s="295">
        <v>183408.2</v>
      </c>
      <c r="D18" s="295"/>
    </row>
    <row r="19" spans="1:6" ht="15.75" x14ac:dyDescent="0.3">
      <c r="A19" s="159" t="s">
        <v>211</v>
      </c>
      <c r="B19" s="295"/>
      <c r="C19" s="295"/>
      <c r="D19" s="295"/>
    </row>
    <row r="20" spans="1:6" ht="15.75" x14ac:dyDescent="0.3">
      <c r="A20" s="159" t="s">
        <v>212</v>
      </c>
      <c r="B20" s="281"/>
      <c r="C20" s="281">
        <v>235406.85</v>
      </c>
      <c r="D20" s="281"/>
    </row>
    <row r="21" spans="1:6" ht="15.75" x14ac:dyDescent="0.3">
      <c r="A21" s="159" t="s">
        <v>213</v>
      </c>
      <c r="B21" s="281"/>
      <c r="C21" s="281">
        <v>340034.17</v>
      </c>
      <c r="D21" s="281"/>
    </row>
    <row r="22" spans="1:6" ht="15.75" x14ac:dyDescent="0.3">
      <c r="A22" s="159" t="s">
        <v>214</v>
      </c>
      <c r="B22" s="281"/>
      <c r="C22" s="281">
        <v>358604.60000000003</v>
      </c>
      <c r="D22" s="281"/>
    </row>
    <row r="23" spans="1:6" ht="15.75" x14ac:dyDescent="0.3">
      <c r="A23" s="159" t="s">
        <v>215</v>
      </c>
      <c r="B23" s="281"/>
      <c r="C23" s="281">
        <v>413240.9</v>
      </c>
      <c r="D23" s="281">
        <v>410</v>
      </c>
    </row>
    <row r="24" spans="1:6" ht="15.75" x14ac:dyDescent="0.3">
      <c r="A24" s="159" t="s">
        <v>216</v>
      </c>
      <c r="B24" s="281">
        <v>1114.5899999999999</v>
      </c>
      <c r="C24" s="281">
        <v>1390109.3</v>
      </c>
      <c r="D24" s="281">
        <v>115399.03</v>
      </c>
    </row>
    <row r="25" spans="1:6" ht="15.75" x14ac:dyDescent="0.3">
      <c r="A25" s="159" t="s">
        <v>200</v>
      </c>
      <c r="B25" s="281"/>
      <c r="C25" s="281">
        <v>1834.3700000000001</v>
      </c>
      <c r="D25" s="281"/>
    </row>
    <row r="26" spans="1:6" ht="15.75" x14ac:dyDescent="0.3">
      <c r="A26" s="159" t="s">
        <v>217</v>
      </c>
      <c r="B26" s="281"/>
      <c r="C26" s="281">
        <v>801289.20000000007</v>
      </c>
      <c r="D26" s="281">
        <v>584.97</v>
      </c>
    </row>
    <row r="27" spans="1:6" ht="15.75" x14ac:dyDescent="0.3">
      <c r="A27" s="159" t="s">
        <v>218</v>
      </c>
      <c r="B27" s="285"/>
      <c r="C27" s="285">
        <v>2265399.77</v>
      </c>
      <c r="D27" s="285">
        <v>69247.790000000008</v>
      </c>
    </row>
    <row r="28" spans="1:6" ht="15.75" x14ac:dyDescent="0.3">
      <c r="A28" s="157" t="s">
        <v>1</v>
      </c>
      <c r="B28" s="270">
        <f>SUM(B7:B27)</f>
        <v>58464737.93</v>
      </c>
      <c r="C28" s="270">
        <f>SUM(C7:C27)</f>
        <v>93297781.409999996</v>
      </c>
      <c r="D28" s="270">
        <f>SUM(D7:D27)</f>
        <v>2227997.96</v>
      </c>
    </row>
    <row r="29" spans="1:6" ht="15.75" x14ac:dyDescent="0.3">
      <c r="A29" s="157"/>
      <c r="B29" s="162"/>
      <c r="C29" s="162"/>
      <c r="D29" s="162"/>
    </row>
    <row r="30" spans="1:6" ht="15.75" x14ac:dyDescent="0.3">
      <c r="A30" s="31" t="s">
        <v>165</v>
      </c>
      <c r="B30" s="15"/>
      <c r="C30" s="15"/>
      <c r="D30" s="15"/>
    </row>
    <row r="31" spans="1:6" ht="15.75" x14ac:dyDescent="0.3">
      <c r="A31" s="158" t="s">
        <v>166</v>
      </c>
      <c r="B31" s="389"/>
      <c r="C31" s="390">
        <v>75427</v>
      </c>
      <c r="D31" s="390">
        <v>573046</v>
      </c>
    </row>
    <row r="32" spans="1:6" ht="15.75" x14ac:dyDescent="0.3">
      <c r="A32" s="158" t="s">
        <v>167</v>
      </c>
      <c r="B32" s="389"/>
      <c r="C32" s="390">
        <v>1279954.500000095</v>
      </c>
      <c r="D32" s="390">
        <v>489961.40000084462</v>
      </c>
      <c r="F32" s="113"/>
    </row>
    <row r="33" spans="1:5" ht="15.75" x14ac:dyDescent="0.3">
      <c r="A33" s="159" t="s">
        <v>197</v>
      </c>
      <c r="B33" s="391"/>
      <c r="C33" s="391">
        <v>1171163.5</v>
      </c>
      <c r="D33" s="391">
        <v>4759127.1100000003</v>
      </c>
    </row>
    <row r="34" spans="1:5" ht="15.75" x14ac:dyDescent="0.3">
      <c r="A34" s="31" t="s">
        <v>168</v>
      </c>
      <c r="B34" s="392">
        <v>0</v>
      </c>
      <c r="C34" s="392">
        <f>SUM(C31:C33)</f>
        <v>2526545.000000095</v>
      </c>
      <c r="D34" s="392">
        <f>SUM(D31:D33)</f>
        <v>5822134.5100008454</v>
      </c>
    </row>
    <row r="35" spans="1:5" ht="15.75" x14ac:dyDescent="0.3">
      <c r="A35" s="160"/>
      <c r="B35" s="389"/>
      <c r="C35" s="389"/>
      <c r="D35" s="389"/>
    </row>
    <row r="36" spans="1:5" ht="15.75" x14ac:dyDescent="0.3">
      <c r="A36" s="161" t="s">
        <v>169</v>
      </c>
      <c r="B36" s="392">
        <f>B28+B34</f>
        <v>58464737.93</v>
      </c>
      <c r="C36" s="392">
        <f t="shared" ref="C36:D36" si="0">C28+C34</f>
        <v>95824326.410000086</v>
      </c>
      <c r="D36" s="392">
        <f t="shared" si="0"/>
        <v>8050132.4700008454</v>
      </c>
    </row>
    <row r="37" spans="1:5" x14ac:dyDescent="0.25">
      <c r="A37" s="1"/>
      <c r="B37" s="14"/>
      <c r="C37" s="14"/>
      <c r="D37" s="14"/>
    </row>
    <row r="38" spans="1:5" x14ac:dyDescent="0.25">
      <c r="A38" s="1"/>
      <c r="B38" s="114"/>
      <c r="C38" s="114"/>
      <c r="D38" s="114"/>
    </row>
    <row r="39" spans="1:5" ht="15.75" x14ac:dyDescent="0.3">
      <c r="A39" s="161" t="s">
        <v>26</v>
      </c>
      <c r="B39" s="49">
        <v>121888</v>
      </c>
      <c r="C39" s="49">
        <v>39070</v>
      </c>
      <c r="D39" s="7">
        <v>1031</v>
      </c>
      <c r="E39" s="170"/>
    </row>
    <row r="40" spans="1:5" ht="15.75" x14ac:dyDescent="0.3">
      <c r="A40" s="31" t="s">
        <v>226</v>
      </c>
      <c r="B40" s="392">
        <f>B36/B39</f>
        <v>479.65950651417694</v>
      </c>
      <c r="C40" s="392">
        <f t="shared" ref="C40:D40" si="1">C36/C39</f>
        <v>2452.6318507806523</v>
      </c>
      <c r="D40" s="392">
        <f t="shared" si="1"/>
        <v>7808.0819301657084</v>
      </c>
    </row>
    <row r="41" spans="1:5" ht="15.75" x14ac:dyDescent="0.3">
      <c r="A41" s="4"/>
      <c r="B41" s="121"/>
      <c r="C41" s="121"/>
      <c r="D41" s="85"/>
    </row>
    <row r="42" spans="1:5" ht="15.75" x14ac:dyDescent="0.3">
      <c r="B42" s="127"/>
      <c r="C42" s="127"/>
      <c r="D42" s="128"/>
    </row>
    <row r="43" spans="1:5" ht="15.75" x14ac:dyDescent="0.3">
      <c r="A43" s="132" t="s">
        <v>187</v>
      </c>
      <c r="B43" s="127"/>
      <c r="C43" s="127"/>
      <c r="D43" s="128"/>
    </row>
    <row r="44" spans="1:5" ht="15.75" x14ac:dyDescent="0.3">
      <c r="B44" s="127"/>
      <c r="C44" s="127"/>
      <c r="D44" s="128"/>
    </row>
    <row r="45" spans="1:5" x14ac:dyDescent="0.25">
      <c r="B45" s="4"/>
      <c r="C45" s="4"/>
      <c r="D45" s="4"/>
    </row>
    <row r="46" spans="1:5" x14ac:dyDescent="0.25">
      <c r="B46" s="4"/>
      <c r="C46" s="2"/>
      <c r="D46" s="4"/>
    </row>
    <row r="47" spans="1:5" ht="15.75" x14ac:dyDescent="0.3">
      <c r="B47" s="127"/>
      <c r="C47" s="127"/>
      <c r="D47" s="128"/>
    </row>
    <row r="48" spans="1:5" ht="15.75" x14ac:dyDescent="0.3">
      <c r="B48" s="127"/>
      <c r="C48" s="127"/>
      <c r="D48" s="4"/>
      <c r="E48" s="388"/>
    </row>
  </sheetData>
  <mergeCells count="4">
    <mergeCell ref="A1:D1"/>
    <mergeCell ref="A2:D2"/>
    <mergeCell ref="A3:D3"/>
    <mergeCell ref="A4:D4"/>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election sqref="A1:I1"/>
    </sheetView>
  </sheetViews>
  <sheetFormatPr defaultRowHeight="16.5" x14ac:dyDescent="0.3"/>
  <cols>
    <col min="1" max="1" width="13.7109375" style="218" customWidth="1"/>
    <col min="2" max="2" width="20.5703125" style="218" customWidth="1"/>
    <col min="3" max="3" width="17.5703125" style="218" bestFit="1" customWidth="1"/>
    <col min="4" max="7" width="17.5703125" style="219" bestFit="1" customWidth="1"/>
    <col min="8" max="8" width="17.5703125" style="219" customWidth="1"/>
    <col min="9" max="9" width="17.5703125" style="219" bestFit="1" customWidth="1"/>
    <col min="10" max="10" width="4.140625" style="218" customWidth="1"/>
    <col min="11" max="11" width="20.140625" style="218" customWidth="1"/>
    <col min="12" max="12" width="9.85546875" style="218" customWidth="1"/>
    <col min="13" max="13" width="4" style="218" customWidth="1"/>
    <col min="14" max="14" width="16.5703125" style="218" bestFit="1" customWidth="1"/>
    <col min="15" max="15" width="16" style="218" bestFit="1" customWidth="1"/>
    <col min="16" max="16" width="4" style="218" customWidth="1"/>
    <col min="17" max="17" width="16.5703125" style="218" bestFit="1" customWidth="1"/>
    <col min="18" max="18" width="16" style="218" bestFit="1" customWidth="1"/>
    <col min="19" max="249" width="9.140625" style="218"/>
    <col min="250" max="250" width="13.7109375" style="218" customWidth="1"/>
    <col min="251" max="251" width="20.5703125" style="218" bestFit="1" customWidth="1"/>
    <col min="252" max="252" width="9.85546875" style="218" bestFit="1" customWidth="1"/>
    <col min="253" max="253" width="5.140625" style="218" customWidth="1"/>
    <col min="254" max="254" width="20.140625" style="218" bestFit="1" customWidth="1"/>
    <col min="255" max="255" width="9.85546875" style="218" bestFit="1" customWidth="1"/>
    <col min="256" max="256" width="4.28515625" style="218" customWidth="1"/>
    <col min="257" max="257" width="21.140625" style="218" bestFit="1" customWidth="1"/>
    <col min="258" max="258" width="9.85546875" style="218" bestFit="1" customWidth="1"/>
    <col min="259" max="259" width="4.42578125" style="218" customWidth="1"/>
    <col min="260" max="260" width="20.140625" style="218" bestFit="1" customWidth="1"/>
    <col min="261" max="261" width="9.85546875" style="218" bestFit="1" customWidth="1"/>
    <col min="262" max="505" width="9.140625" style="218"/>
    <col min="506" max="506" width="13.7109375" style="218" customWidth="1"/>
    <col min="507" max="507" width="20.5703125" style="218" bestFit="1" customWidth="1"/>
    <col min="508" max="508" width="9.85546875" style="218" bestFit="1" customWidth="1"/>
    <col min="509" max="509" width="5.140625" style="218" customWidth="1"/>
    <col min="510" max="510" width="20.140625" style="218" bestFit="1" customWidth="1"/>
    <col min="511" max="511" width="9.85546875" style="218" bestFit="1" customWidth="1"/>
    <col min="512" max="512" width="4.28515625" style="218" customWidth="1"/>
    <col min="513" max="513" width="21.140625" style="218" bestFit="1" customWidth="1"/>
    <col min="514" max="514" width="9.85546875" style="218" bestFit="1" customWidth="1"/>
    <col min="515" max="515" width="4.42578125" style="218" customWidth="1"/>
    <col min="516" max="516" width="20.140625" style="218" bestFit="1" customWidth="1"/>
    <col min="517" max="517" width="9.85546875" style="218" bestFit="1" customWidth="1"/>
    <col min="518" max="761" width="9.140625" style="218"/>
    <col min="762" max="762" width="13.7109375" style="218" customWidth="1"/>
    <col min="763" max="763" width="20.5703125" style="218" bestFit="1" customWidth="1"/>
    <col min="764" max="764" width="9.85546875" style="218" bestFit="1" customWidth="1"/>
    <col min="765" max="765" width="5.140625" style="218" customWidth="1"/>
    <col min="766" max="766" width="20.140625" style="218" bestFit="1" customWidth="1"/>
    <col min="767" max="767" width="9.85546875" style="218" bestFit="1" customWidth="1"/>
    <col min="768" max="768" width="4.28515625" style="218" customWidth="1"/>
    <col min="769" max="769" width="21.140625" style="218" bestFit="1" customWidth="1"/>
    <col min="770" max="770" width="9.85546875" style="218" bestFit="1" customWidth="1"/>
    <col min="771" max="771" width="4.42578125" style="218" customWidth="1"/>
    <col min="772" max="772" width="20.140625" style="218" bestFit="1" customWidth="1"/>
    <col min="773" max="773" width="9.85546875" style="218" bestFit="1" customWidth="1"/>
    <col min="774" max="1017" width="9.140625" style="218"/>
    <col min="1018" max="1018" width="13.7109375" style="218" customWidth="1"/>
    <col min="1019" max="1019" width="20.5703125" style="218" bestFit="1" customWidth="1"/>
    <col min="1020" max="1020" width="9.85546875" style="218" bestFit="1" customWidth="1"/>
    <col min="1021" max="1021" width="5.140625" style="218" customWidth="1"/>
    <col min="1022" max="1022" width="20.140625" style="218" bestFit="1" customWidth="1"/>
    <col min="1023" max="1023" width="9.85546875" style="218" bestFit="1" customWidth="1"/>
    <col min="1024" max="1024" width="4.28515625" style="218" customWidth="1"/>
    <col min="1025" max="1025" width="21.140625" style="218" bestFit="1" customWidth="1"/>
    <col min="1026" max="1026" width="9.85546875" style="218" bestFit="1" customWidth="1"/>
    <col min="1027" max="1027" width="4.42578125" style="218" customWidth="1"/>
    <col min="1028" max="1028" width="20.140625" style="218" bestFit="1" customWidth="1"/>
    <col min="1029" max="1029" width="9.85546875" style="218" bestFit="1" customWidth="1"/>
    <col min="1030" max="1273" width="9.140625" style="218"/>
    <col min="1274" max="1274" width="13.7109375" style="218" customWidth="1"/>
    <col min="1275" max="1275" width="20.5703125" style="218" bestFit="1" customWidth="1"/>
    <col min="1276" max="1276" width="9.85546875" style="218" bestFit="1" customWidth="1"/>
    <col min="1277" max="1277" width="5.140625" style="218" customWidth="1"/>
    <col min="1278" max="1278" width="20.140625" style="218" bestFit="1" customWidth="1"/>
    <col min="1279" max="1279" width="9.85546875" style="218" bestFit="1" customWidth="1"/>
    <col min="1280" max="1280" width="4.28515625" style="218" customWidth="1"/>
    <col min="1281" max="1281" width="21.140625" style="218" bestFit="1" customWidth="1"/>
    <col min="1282" max="1282" width="9.85546875" style="218" bestFit="1" customWidth="1"/>
    <col min="1283" max="1283" width="4.42578125" style="218" customWidth="1"/>
    <col min="1284" max="1284" width="20.140625" style="218" bestFit="1" customWidth="1"/>
    <col min="1285" max="1285" width="9.85546875" style="218" bestFit="1" customWidth="1"/>
    <col min="1286" max="1529" width="9.140625" style="218"/>
    <col min="1530" max="1530" width="13.7109375" style="218" customWidth="1"/>
    <col min="1531" max="1531" width="20.5703125" style="218" bestFit="1" customWidth="1"/>
    <col min="1532" max="1532" width="9.85546875" style="218" bestFit="1" customWidth="1"/>
    <col min="1533" max="1533" width="5.140625" style="218" customWidth="1"/>
    <col min="1534" max="1534" width="20.140625" style="218" bestFit="1" customWidth="1"/>
    <col min="1535" max="1535" width="9.85546875" style="218" bestFit="1" customWidth="1"/>
    <col min="1536" max="1536" width="4.28515625" style="218" customWidth="1"/>
    <col min="1537" max="1537" width="21.140625" style="218" bestFit="1" customWidth="1"/>
    <col min="1538" max="1538" width="9.85546875" style="218" bestFit="1" customWidth="1"/>
    <col min="1539" max="1539" width="4.42578125" style="218" customWidth="1"/>
    <col min="1540" max="1540" width="20.140625" style="218" bestFit="1" customWidth="1"/>
    <col min="1541" max="1541" width="9.85546875" style="218" bestFit="1" customWidth="1"/>
    <col min="1542" max="1785" width="9.140625" style="218"/>
    <col min="1786" max="1786" width="13.7109375" style="218" customWidth="1"/>
    <col min="1787" max="1787" width="20.5703125" style="218" bestFit="1" customWidth="1"/>
    <col min="1788" max="1788" width="9.85546875" style="218" bestFit="1" customWidth="1"/>
    <col min="1789" max="1789" width="5.140625" style="218" customWidth="1"/>
    <col min="1790" max="1790" width="20.140625" style="218" bestFit="1" customWidth="1"/>
    <col min="1791" max="1791" width="9.85546875" style="218" bestFit="1" customWidth="1"/>
    <col min="1792" max="1792" width="4.28515625" style="218" customWidth="1"/>
    <col min="1793" max="1793" width="21.140625" style="218" bestFit="1" customWidth="1"/>
    <col min="1794" max="1794" width="9.85546875" style="218" bestFit="1" customWidth="1"/>
    <col min="1795" max="1795" width="4.42578125" style="218" customWidth="1"/>
    <col min="1796" max="1796" width="20.140625" style="218" bestFit="1" customWidth="1"/>
    <col min="1797" max="1797" width="9.85546875" style="218" bestFit="1" customWidth="1"/>
    <col min="1798" max="2041" width="9.140625" style="218"/>
    <col min="2042" max="2042" width="13.7109375" style="218" customWidth="1"/>
    <col min="2043" max="2043" width="20.5703125" style="218" bestFit="1" customWidth="1"/>
    <col min="2044" max="2044" width="9.85546875" style="218" bestFit="1" customWidth="1"/>
    <col min="2045" max="2045" width="5.140625" style="218" customWidth="1"/>
    <col min="2046" max="2046" width="20.140625" style="218" bestFit="1" customWidth="1"/>
    <col min="2047" max="2047" width="9.85546875" style="218" bestFit="1" customWidth="1"/>
    <col min="2048" max="2048" width="4.28515625" style="218" customWidth="1"/>
    <col min="2049" max="2049" width="21.140625" style="218" bestFit="1" customWidth="1"/>
    <col min="2050" max="2050" width="9.85546875" style="218" bestFit="1" customWidth="1"/>
    <col min="2051" max="2051" width="4.42578125" style="218" customWidth="1"/>
    <col min="2052" max="2052" width="20.140625" style="218" bestFit="1" customWidth="1"/>
    <col min="2053" max="2053" width="9.85546875" style="218" bestFit="1" customWidth="1"/>
    <col min="2054" max="2297" width="9.140625" style="218"/>
    <col min="2298" max="2298" width="13.7109375" style="218" customWidth="1"/>
    <col min="2299" max="2299" width="20.5703125" style="218" bestFit="1" customWidth="1"/>
    <col min="2300" max="2300" width="9.85546875" style="218" bestFit="1" customWidth="1"/>
    <col min="2301" max="2301" width="5.140625" style="218" customWidth="1"/>
    <col min="2302" max="2302" width="20.140625" style="218" bestFit="1" customWidth="1"/>
    <col min="2303" max="2303" width="9.85546875" style="218" bestFit="1" customWidth="1"/>
    <col min="2304" max="2304" width="4.28515625" style="218" customWidth="1"/>
    <col min="2305" max="2305" width="21.140625" style="218" bestFit="1" customWidth="1"/>
    <col min="2306" max="2306" width="9.85546875" style="218" bestFit="1" customWidth="1"/>
    <col min="2307" max="2307" width="4.42578125" style="218" customWidth="1"/>
    <col min="2308" max="2308" width="20.140625" style="218" bestFit="1" customWidth="1"/>
    <col min="2309" max="2309" width="9.85546875" style="218" bestFit="1" customWidth="1"/>
    <col min="2310" max="2553" width="9.140625" style="218"/>
    <col min="2554" max="2554" width="13.7109375" style="218" customWidth="1"/>
    <col min="2555" max="2555" width="20.5703125" style="218" bestFit="1" customWidth="1"/>
    <col min="2556" max="2556" width="9.85546875" style="218" bestFit="1" customWidth="1"/>
    <col min="2557" max="2557" width="5.140625" style="218" customWidth="1"/>
    <col min="2558" max="2558" width="20.140625" style="218" bestFit="1" customWidth="1"/>
    <col min="2559" max="2559" width="9.85546875" style="218" bestFit="1" customWidth="1"/>
    <col min="2560" max="2560" width="4.28515625" style="218" customWidth="1"/>
    <col min="2561" max="2561" width="21.140625" style="218" bestFit="1" customWidth="1"/>
    <col min="2562" max="2562" width="9.85546875" style="218" bestFit="1" customWidth="1"/>
    <col min="2563" max="2563" width="4.42578125" style="218" customWidth="1"/>
    <col min="2564" max="2564" width="20.140625" style="218" bestFit="1" customWidth="1"/>
    <col min="2565" max="2565" width="9.85546875" style="218" bestFit="1" customWidth="1"/>
    <col min="2566" max="2809" width="9.140625" style="218"/>
    <col min="2810" max="2810" width="13.7109375" style="218" customWidth="1"/>
    <col min="2811" max="2811" width="20.5703125" style="218" bestFit="1" customWidth="1"/>
    <col min="2812" max="2812" width="9.85546875" style="218" bestFit="1" customWidth="1"/>
    <col min="2813" max="2813" width="5.140625" style="218" customWidth="1"/>
    <col min="2814" max="2814" width="20.140625" style="218" bestFit="1" customWidth="1"/>
    <col min="2815" max="2815" width="9.85546875" style="218" bestFit="1" customWidth="1"/>
    <col min="2816" max="2816" width="4.28515625" style="218" customWidth="1"/>
    <col min="2817" max="2817" width="21.140625" style="218" bestFit="1" customWidth="1"/>
    <col min="2818" max="2818" width="9.85546875" style="218" bestFit="1" customWidth="1"/>
    <col min="2819" max="2819" width="4.42578125" style="218" customWidth="1"/>
    <col min="2820" max="2820" width="20.140625" style="218" bestFit="1" customWidth="1"/>
    <col min="2821" max="2821" width="9.85546875" style="218" bestFit="1" customWidth="1"/>
    <col min="2822" max="3065" width="9.140625" style="218"/>
    <col min="3066" max="3066" width="13.7109375" style="218" customWidth="1"/>
    <col min="3067" max="3067" width="20.5703125" style="218" bestFit="1" customWidth="1"/>
    <col min="3068" max="3068" width="9.85546875" style="218" bestFit="1" customWidth="1"/>
    <col min="3069" max="3069" width="5.140625" style="218" customWidth="1"/>
    <col min="3070" max="3070" width="20.140625" style="218" bestFit="1" customWidth="1"/>
    <col min="3071" max="3071" width="9.85546875" style="218" bestFit="1" customWidth="1"/>
    <col min="3072" max="3072" width="4.28515625" style="218" customWidth="1"/>
    <col min="3073" max="3073" width="21.140625" style="218" bestFit="1" customWidth="1"/>
    <col min="3074" max="3074" width="9.85546875" style="218" bestFit="1" customWidth="1"/>
    <col min="3075" max="3075" width="4.42578125" style="218" customWidth="1"/>
    <col min="3076" max="3076" width="20.140625" style="218" bestFit="1" customWidth="1"/>
    <col min="3077" max="3077" width="9.85546875" style="218" bestFit="1" customWidth="1"/>
    <col min="3078" max="3321" width="9.140625" style="218"/>
    <col min="3322" max="3322" width="13.7109375" style="218" customWidth="1"/>
    <col min="3323" max="3323" width="20.5703125" style="218" bestFit="1" customWidth="1"/>
    <col min="3324" max="3324" width="9.85546875" style="218" bestFit="1" customWidth="1"/>
    <col min="3325" max="3325" width="5.140625" style="218" customWidth="1"/>
    <col min="3326" max="3326" width="20.140625" style="218" bestFit="1" customWidth="1"/>
    <col min="3327" max="3327" width="9.85546875" style="218" bestFit="1" customWidth="1"/>
    <col min="3328" max="3328" width="4.28515625" style="218" customWidth="1"/>
    <col min="3329" max="3329" width="21.140625" style="218" bestFit="1" customWidth="1"/>
    <col min="3330" max="3330" width="9.85546875" style="218" bestFit="1" customWidth="1"/>
    <col min="3331" max="3331" width="4.42578125" style="218" customWidth="1"/>
    <col min="3332" max="3332" width="20.140625" style="218" bestFit="1" customWidth="1"/>
    <col min="3333" max="3333" width="9.85546875" style="218" bestFit="1" customWidth="1"/>
    <col min="3334" max="3577" width="9.140625" style="218"/>
    <col min="3578" max="3578" width="13.7109375" style="218" customWidth="1"/>
    <col min="3579" max="3579" width="20.5703125" style="218" bestFit="1" customWidth="1"/>
    <col min="3580" max="3580" width="9.85546875" style="218" bestFit="1" customWidth="1"/>
    <col min="3581" max="3581" width="5.140625" style="218" customWidth="1"/>
    <col min="3582" max="3582" width="20.140625" style="218" bestFit="1" customWidth="1"/>
    <col min="3583" max="3583" width="9.85546875" style="218" bestFit="1" customWidth="1"/>
    <col min="3584" max="3584" width="4.28515625" style="218" customWidth="1"/>
    <col min="3585" max="3585" width="21.140625" style="218" bestFit="1" customWidth="1"/>
    <col min="3586" max="3586" width="9.85546875" style="218" bestFit="1" customWidth="1"/>
    <col min="3587" max="3587" width="4.42578125" style="218" customWidth="1"/>
    <col min="3588" max="3588" width="20.140625" style="218" bestFit="1" customWidth="1"/>
    <col min="3589" max="3589" width="9.85546875" style="218" bestFit="1" customWidth="1"/>
    <col min="3590" max="3833" width="9.140625" style="218"/>
    <col min="3834" max="3834" width="13.7109375" style="218" customWidth="1"/>
    <col min="3835" max="3835" width="20.5703125" style="218" bestFit="1" customWidth="1"/>
    <col min="3836" max="3836" width="9.85546875" style="218" bestFit="1" customWidth="1"/>
    <col min="3837" max="3837" width="5.140625" style="218" customWidth="1"/>
    <col min="3838" max="3838" width="20.140625" style="218" bestFit="1" customWidth="1"/>
    <col min="3839" max="3839" width="9.85546875" style="218" bestFit="1" customWidth="1"/>
    <col min="3840" max="3840" width="4.28515625" style="218" customWidth="1"/>
    <col min="3841" max="3841" width="21.140625" style="218" bestFit="1" customWidth="1"/>
    <col min="3842" max="3842" width="9.85546875" style="218" bestFit="1" customWidth="1"/>
    <col min="3843" max="3843" width="4.42578125" style="218" customWidth="1"/>
    <col min="3844" max="3844" width="20.140625" style="218" bestFit="1" customWidth="1"/>
    <col min="3845" max="3845" width="9.85546875" style="218" bestFit="1" customWidth="1"/>
    <col min="3846" max="4089" width="9.140625" style="218"/>
    <col min="4090" max="4090" width="13.7109375" style="218" customWidth="1"/>
    <col min="4091" max="4091" width="20.5703125" style="218" bestFit="1" customWidth="1"/>
    <col min="4092" max="4092" width="9.85546875" style="218" bestFit="1" customWidth="1"/>
    <col min="4093" max="4093" width="5.140625" style="218" customWidth="1"/>
    <col min="4094" max="4094" width="20.140625" style="218" bestFit="1" customWidth="1"/>
    <col min="4095" max="4095" width="9.85546875" style="218" bestFit="1" customWidth="1"/>
    <col min="4096" max="4096" width="4.28515625" style="218" customWidth="1"/>
    <col min="4097" max="4097" width="21.140625" style="218" bestFit="1" customWidth="1"/>
    <col min="4098" max="4098" width="9.85546875" style="218" bestFit="1" customWidth="1"/>
    <col min="4099" max="4099" width="4.42578125" style="218" customWidth="1"/>
    <col min="4100" max="4100" width="20.140625" style="218" bestFit="1" customWidth="1"/>
    <col min="4101" max="4101" width="9.85546875" style="218" bestFit="1" customWidth="1"/>
    <col min="4102" max="4345" width="9.140625" style="218"/>
    <col min="4346" max="4346" width="13.7109375" style="218" customWidth="1"/>
    <col min="4347" max="4347" width="20.5703125" style="218" bestFit="1" customWidth="1"/>
    <col min="4348" max="4348" width="9.85546875" style="218" bestFit="1" customWidth="1"/>
    <col min="4349" max="4349" width="5.140625" style="218" customWidth="1"/>
    <col min="4350" max="4350" width="20.140625" style="218" bestFit="1" customWidth="1"/>
    <col min="4351" max="4351" width="9.85546875" style="218" bestFit="1" customWidth="1"/>
    <col min="4352" max="4352" width="4.28515625" style="218" customWidth="1"/>
    <col min="4353" max="4353" width="21.140625" style="218" bestFit="1" customWidth="1"/>
    <col min="4354" max="4354" width="9.85546875" style="218" bestFit="1" customWidth="1"/>
    <col min="4355" max="4355" width="4.42578125" style="218" customWidth="1"/>
    <col min="4356" max="4356" width="20.140625" style="218" bestFit="1" customWidth="1"/>
    <col min="4357" max="4357" width="9.85546875" style="218" bestFit="1" customWidth="1"/>
    <col min="4358" max="4601" width="9.140625" style="218"/>
    <col min="4602" max="4602" width="13.7109375" style="218" customWidth="1"/>
    <col min="4603" max="4603" width="20.5703125" style="218" bestFit="1" customWidth="1"/>
    <col min="4604" max="4604" width="9.85546875" style="218" bestFit="1" customWidth="1"/>
    <col min="4605" max="4605" width="5.140625" style="218" customWidth="1"/>
    <col min="4606" max="4606" width="20.140625" style="218" bestFit="1" customWidth="1"/>
    <col min="4607" max="4607" width="9.85546875" style="218" bestFit="1" customWidth="1"/>
    <col min="4608" max="4608" width="4.28515625" style="218" customWidth="1"/>
    <col min="4609" max="4609" width="21.140625" style="218" bestFit="1" customWidth="1"/>
    <col min="4610" max="4610" width="9.85546875" style="218" bestFit="1" customWidth="1"/>
    <col min="4611" max="4611" width="4.42578125" style="218" customWidth="1"/>
    <col min="4612" max="4612" width="20.140625" style="218" bestFit="1" customWidth="1"/>
    <col min="4613" max="4613" width="9.85546875" style="218" bestFit="1" customWidth="1"/>
    <col min="4614" max="4857" width="9.140625" style="218"/>
    <col min="4858" max="4858" width="13.7109375" style="218" customWidth="1"/>
    <col min="4859" max="4859" width="20.5703125" style="218" bestFit="1" customWidth="1"/>
    <col min="4860" max="4860" width="9.85546875" style="218" bestFit="1" customWidth="1"/>
    <col min="4861" max="4861" width="5.140625" style="218" customWidth="1"/>
    <col min="4862" max="4862" width="20.140625" style="218" bestFit="1" customWidth="1"/>
    <col min="4863" max="4863" width="9.85546875" style="218" bestFit="1" customWidth="1"/>
    <col min="4864" max="4864" width="4.28515625" style="218" customWidth="1"/>
    <col min="4865" max="4865" width="21.140625" style="218" bestFit="1" customWidth="1"/>
    <col min="4866" max="4866" width="9.85546875" style="218" bestFit="1" customWidth="1"/>
    <col min="4867" max="4867" width="4.42578125" style="218" customWidth="1"/>
    <col min="4868" max="4868" width="20.140625" style="218" bestFit="1" customWidth="1"/>
    <col min="4869" max="4869" width="9.85546875" style="218" bestFit="1" customWidth="1"/>
    <col min="4870" max="5113" width="9.140625" style="218"/>
    <col min="5114" max="5114" width="13.7109375" style="218" customWidth="1"/>
    <col min="5115" max="5115" width="20.5703125" style="218" bestFit="1" customWidth="1"/>
    <col min="5116" max="5116" width="9.85546875" style="218" bestFit="1" customWidth="1"/>
    <col min="5117" max="5117" width="5.140625" style="218" customWidth="1"/>
    <col min="5118" max="5118" width="20.140625" style="218" bestFit="1" customWidth="1"/>
    <col min="5119" max="5119" width="9.85546875" style="218" bestFit="1" customWidth="1"/>
    <col min="5120" max="5120" width="4.28515625" style="218" customWidth="1"/>
    <col min="5121" max="5121" width="21.140625" style="218" bestFit="1" customWidth="1"/>
    <col min="5122" max="5122" width="9.85546875" style="218" bestFit="1" customWidth="1"/>
    <col min="5123" max="5123" width="4.42578125" style="218" customWidth="1"/>
    <col min="5124" max="5124" width="20.140625" style="218" bestFit="1" customWidth="1"/>
    <col min="5125" max="5125" width="9.85546875" style="218" bestFit="1" customWidth="1"/>
    <col min="5126" max="5369" width="9.140625" style="218"/>
    <col min="5370" max="5370" width="13.7109375" style="218" customWidth="1"/>
    <col min="5371" max="5371" width="20.5703125" style="218" bestFit="1" customWidth="1"/>
    <col min="5372" max="5372" width="9.85546875" style="218" bestFit="1" customWidth="1"/>
    <col min="5373" max="5373" width="5.140625" style="218" customWidth="1"/>
    <col min="5374" max="5374" width="20.140625" style="218" bestFit="1" customWidth="1"/>
    <col min="5375" max="5375" width="9.85546875" style="218" bestFit="1" customWidth="1"/>
    <col min="5376" max="5376" width="4.28515625" style="218" customWidth="1"/>
    <col min="5377" max="5377" width="21.140625" style="218" bestFit="1" customWidth="1"/>
    <col min="5378" max="5378" width="9.85546875" style="218" bestFit="1" customWidth="1"/>
    <col min="5379" max="5379" width="4.42578125" style="218" customWidth="1"/>
    <col min="5380" max="5380" width="20.140625" style="218" bestFit="1" customWidth="1"/>
    <col min="5381" max="5381" width="9.85546875" style="218" bestFit="1" customWidth="1"/>
    <col min="5382" max="5625" width="9.140625" style="218"/>
    <col min="5626" max="5626" width="13.7109375" style="218" customWidth="1"/>
    <col min="5627" max="5627" width="20.5703125" style="218" bestFit="1" customWidth="1"/>
    <col min="5628" max="5628" width="9.85546875" style="218" bestFit="1" customWidth="1"/>
    <col min="5629" max="5629" width="5.140625" style="218" customWidth="1"/>
    <col min="5630" max="5630" width="20.140625" style="218" bestFit="1" customWidth="1"/>
    <col min="5631" max="5631" width="9.85546875" style="218" bestFit="1" customWidth="1"/>
    <col min="5632" max="5632" width="4.28515625" style="218" customWidth="1"/>
    <col min="5633" max="5633" width="21.140625" style="218" bestFit="1" customWidth="1"/>
    <col min="5634" max="5634" width="9.85546875" style="218" bestFit="1" customWidth="1"/>
    <col min="5635" max="5635" width="4.42578125" style="218" customWidth="1"/>
    <col min="5636" max="5636" width="20.140625" style="218" bestFit="1" customWidth="1"/>
    <col min="5637" max="5637" width="9.85546875" style="218" bestFit="1" customWidth="1"/>
    <col min="5638" max="5881" width="9.140625" style="218"/>
    <col min="5882" max="5882" width="13.7109375" style="218" customWidth="1"/>
    <col min="5883" max="5883" width="20.5703125" style="218" bestFit="1" customWidth="1"/>
    <col min="5884" max="5884" width="9.85546875" style="218" bestFit="1" customWidth="1"/>
    <col min="5885" max="5885" width="5.140625" style="218" customWidth="1"/>
    <col min="5886" max="5886" width="20.140625" style="218" bestFit="1" customWidth="1"/>
    <col min="5887" max="5887" width="9.85546875" style="218" bestFit="1" customWidth="1"/>
    <col min="5888" max="5888" width="4.28515625" style="218" customWidth="1"/>
    <col min="5889" max="5889" width="21.140625" style="218" bestFit="1" customWidth="1"/>
    <col min="5890" max="5890" width="9.85546875" style="218" bestFit="1" customWidth="1"/>
    <col min="5891" max="5891" width="4.42578125" style="218" customWidth="1"/>
    <col min="5892" max="5892" width="20.140625" style="218" bestFit="1" customWidth="1"/>
    <col min="5893" max="5893" width="9.85546875" style="218" bestFit="1" customWidth="1"/>
    <col min="5894" max="6137" width="9.140625" style="218"/>
    <col min="6138" max="6138" width="13.7109375" style="218" customWidth="1"/>
    <col min="6139" max="6139" width="20.5703125" style="218" bestFit="1" customWidth="1"/>
    <col min="6140" max="6140" width="9.85546875" style="218" bestFit="1" customWidth="1"/>
    <col min="6141" max="6141" width="5.140625" style="218" customWidth="1"/>
    <col min="6142" max="6142" width="20.140625" style="218" bestFit="1" customWidth="1"/>
    <col min="6143" max="6143" width="9.85546875" style="218" bestFit="1" customWidth="1"/>
    <col min="6144" max="6144" width="4.28515625" style="218" customWidth="1"/>
    <col min="6145" max="6145" width="21.140625" style="218" bestFit="1" customWidth="1"/>
    <col min="6146" max="6146" width="9.85546875" style="218" bestFit="1" customWidth="1"/>
    <col min="6147" max="6147" width="4.42578125" style="218" customWidth="1"/>
    <col min="6148" max="6148" width="20.140625" style="218" bestFit="1" customWidth="1"/>
    <col min="6149" max="6149" width="9.85546875" style="218" bestFit="1" customWidth="1"/>
    <col min="6150" max="6393" width="9.140625" style="218"/>
    <col min="6394" max="6394" width="13.7109375" style="218" customWidth="1"/>
    <col min="6395" max="6395" width="20.5703125" style="218" bestFit="1" customWidth="1"/>
    <col min="6396" max="6396" width="9.85546875" style="218" bestFit="1" customWidth="1"/>
    <col min="6397" max="6397" width="5.140625" style="218" customWidth="1"/>
    <col min="6398" max="6398" width="20.140625" style="218" bestFit="1" customWidth="1"/>
    <col min="6399" max="6399" width="9.85546875" style="218" bestFit="1" customWidth="1"/>
    <col min="6400" max="6400" width="4.28515625" style="218" customWidth="1"/>
    <col min="6401" max="6401" width="21.140625" style="218" bestFit="1" customWidth="1"/>
    <col min="6402" max="6402" width="9.85546875" style="218" bestFit="1" customWidth="1"/>
    <col min="6403" max="6403" width="4.42578125" style="218" customWidth="1"/>
    <col min="6404" max="6404" width="20.140625" style="218" bestFit="1" customWidth="1"/>
    <col min="6405" max="6405" width="9.85546875" style="218" bestFit="1" customWidth="1"/>
    <col min="6406" max="6649" width="9.140625" style="218"/>
    <col min="6650" max="6650" width="13.7109375" style="218" customWidth="1"/>
    <col min="6651" max="6651" width="20.5703125" style="218" bestFit="1" customWidth="1"/>
    <col min="6652" max="6652" width="9.85546875" style="218" bestFit="1" customWidth="1"/>
    <col min="6653" max="6653" width="5.140625" style="218" customWidth="1"/>
    <col min="6654" max="6654" width="20.140625" style="218" bestFit="1" customWidth="1"/>
    <col min="6655" max="6655" width="9.85546875" style="218" bestFit="1" customWidth="1"/>
    <col min="6656" max="6656" width="4.28515625" style="218" customWidth="1"/>
    <col min="6657" max="6657" width="21.140625" style="218" bestFit="1" customWidth="1"/>
    <col min="6658" max="6658" width="9.85546875" style="218" bestFit="1" customWidth="1"/>
    <col min="6659" max="6659" width="4.42578125" style="218" customWidth="1"/>
    <col min="6660" max="6660" width="20.140625" style="218" bestFit="1" customWidth="1"/>
    <col min="6661" max="6661" width="9.85546875" style="218" bestFit="1" customWidth="1"/>
    <col min="6662" max="6905" width="9.140625" style="218"/>
    <col min="6906" max="6906" width="13.7109375" style="218" customWidth="1"/>
    <col min="6907" max="6907" width="20.5703125" style="218" bestFit="1" customWidth="1"/>
    <col min="6908" max="6908" width="9.85546875" style="218" bestFit="1" customWidth="1"/>
    <col min="6909" max="6909" width="5.140625" style="218" customWidth="1"/>
    <col min="6910" max="6910" width="20.140625" style="218" bestFit="1" customWidth="1"/>
    <col min="6911" max="6911" width="9.85546875" style="218" bestFit="1" customWidth="1"/>
    <col min="6912" max="6912" width="4.28515625" style="218" customWidth="1"/>
    <col min="6913" max="6913" width="21.140625" style="218" bestFit="1" customWidth="1"/>
    <col min="6914" max="6914" width="9.85546875" style="218" bestFit="1" customWidth="1"/>
    <col min="6915" max="6915" width="4.42578125" style="218" customWidth="1"/>
    <col min="6916" max="6916" width="20.140625" style="218" bestFit="1" customWidth="1"/>
    <col min="6917" max="6917" width="9.85546875" style="218" bestFit="1" customWidth="1"/>
    <col min="6918" max="7161" width="9.140625" style="218"/>
    <col min="7162" max="7162" width="13.7109375" style="218" customWidth="1"/>
    <col min="7163" max="7163" width="20.5703125" style="218" bestFit="1" customWidth="1"/>
    <col min="7164" max="7164" width="9.85546875" style="218" bestFit="1" customWidth="1"/>
    <col min="7165" max="7165" width="5.140625" style="218" customWidth="1"/>
    <col min="7166" max="7166" width="20.140625" style="218" bestFit="1" customWidth="1"/>
    <col min="7167" max="7167" width="9.85546875" style="218" bestFit="1" customWidth="1"/>
    <col min="7168" max="7168" width="4.28515625" style="218" customWidth="1"/>
    <col min="7169" max="7169" width="21.140625" style="218" bestFit="1" customWidth="1"/>
    <col min="7170" max="7170" width="9.85546875" style="218" bestFit="1" customWidth="1"/>
    <col min="7171" max="7171" width="4.42578125" style="218" customWidth="1"/>
    <col min="7172" max="7172" width="20.140625" style="218" bestFit="1" customWidth="1"/>
    <col min="7173" max="7173" width="9.85546875" style="218" bestFit="1" customWidth="1"/>
    <col min="7174" max="7417" width="9.140625" style="218"/>
    <col min="7418" max="7418" width="13.7109375" style="218" customWidth="1"/>
    <col min="7419" max="7419" width="20.5703125" style="218" bestFit="1" customWidth="1"/>
    <col min="7420" max="7420" width="9.85546875" style="218" bestFit="1" customWidth="1"/>
    <col min="7421" max="7421" width="5.140625" style="218" customWidth="1"/>
    <col min="7422" max="7422" width="20.140625" style="218" bestFit="1" customWidth="1"/>
    <col min="7423" max="7423" width="9.85546875" style="218" bestFit="1" customWidth="1"/>
    <col min="7424" max="7424" width="4.28515625" style="218" customWidth="1"/>
    <col min="7425" max="7425" width="21.140625" style="218" bestFit="1" customWidth="1"/>
    <col min="7426" max="7426" width="9.85546875" style="218" bestFit="1" customWidth="1"/>
    <col min="7427" max="7427" width="4.42578125" style="218" customWidth="1"/>
    <col min="7428" max="7428" width="20.140625" style="218" bestFit="1" customWidth="1"/>
    <col min="7429" max="7429" width="9.85546875" style="218" bestFit="1" customWidth="1"/>
    <col min="7430" max="7673" width="9.140625" style="218"/>
    <col min="7674" max="7674" width="13.7109375" style="218" customWidth="1"/>
    <col min="7675" max="7675" width="20.5703125" style="218" bestFit="1" customWidth="1"/>
    <col min="7676" max="7676" width="9.85546875" style="218" bestFit="1" customWidth="1"/>
    <col min="7677" max="7677" width="5.140625" style="218" customWidth="1"/>
    <col min="7678" max="7678" width="20.140625" style="218" bestFit="1" customWidth="1"/>
    <col min="7679" max="7679" width="9.85546875" style="218" bestFit="1" customWidth="1"/>
    <col min="7680" max="7680" width="4.28515625" style="218" customWidth="1"/>
    <col min="7681" max="7681" width="21.140625" style="218" bestFit="1" customWidth="1"/>
    <col min="7682" max="7682" width="9.85546875" style="218" bestFit="1" customWidth="1"/>
    <col min="7683" max="7683" width="4.42578125" style="218" customWidth="1"/>
    <col min="7684" max="7684" width="20.140625" style="218" bestFit="1" customWidth="1"/>
    <col min="7685" max="7685" width="9.85546875" style="218" bestFit="1" customWidth="1"/>
    <col min="7686" max="7929" width="9.140625" style="218"/>
    <col min="7930" max="7930" width="13.7109375" style="218" customWidth="1"/>
    <col min="7931" max="7931" width="20.5703125" style="218" bestFit="1" customWidth="1"/>
    <col min="7932" max="7932" width="9.85546875" style="218" bestFit="1" customWidth="1"/>
    <col min="7933" max="7933" width="5.140625" style="218" customWidth="1"/>
    <col min="7934" max="7934" width="20.140625" style="218" bestFit="1" customWidth="1"/>
    <col min="7935" max="7935" width="9.85546875" style="218" bestFit="1" customWidth="1"/>
    <col min="7936" max="7936" width="4.28515625" style="218" customWidth="1"/>
    <col min="7937" max="7937" width="21.140625" style="218" bestFit="1" customWidth="1"/>
    <col min="7938" max="7938" width="9.85546875" style="218" bestFit="1" customWidth="1"/>
    <col min="7939" max="7939" width="4.42578125" style="218" customWidth="1"/>
    <col min="7940" max="7940" width="20.140625" style="218" bestFit="1" customWidth="1"/>
    <col min="7941" max="7941" width="9.85546875" style="218" bestFit="1" customWidth="1"/>
    <col min="7942" max="8185" width="9.140625" style="218"/>
    <col min="8186" max="8186" width="13.7109375" style="218" customWidth="1"/>
    <col min="8187" max="8187" width="20.5703125" style="218" bestFit="1" customWidth="1"/>
    <col min="8188" max="8188" width="9.85546875" style="218" bestFit="1" customWidth="1"/>
    <col min="8189" max="8189" width="5.140625" style="218" customWidth="1"/>
    <col min="8190" max="8190" width="20.140625" style="218" bestFit="1" customWidth="1"/>
    <col min="8191" max="8191" width="9.85546875" style="218" bestFit="1" customWidth="1"/>
    <col min="8192" max="8192" width="4.28515625" style="218" customWidth="1"/>
    <col min="8193" max="8193" width="21.140625" style="218" bestFit="1" customWidth="1"/>
    <col min="8194" max="8194" width="9.85546875" style="218" bestFit="1" customWidth="1"/>
    <col min="8195" max="8195" width="4.42578125" style="218" customWidth="1"/>
    <col min="8196" max="8196" width="20.140625" style="218" bestFit="1" customWidth="1"/>
    <col min="8197" max="8197" width="9.85546875" style="218" bestFit="1" customWidth="1"/>
    <col min="8198" max="8441" width="9.140625" style="218"/>
    <col min="8442" max="8442" width="13.7109375" style="218" customWidth="1"/>
    <col min="8443" max="8443" width="20.5703125" style="218" bestFit="1" customWidth="1"/>
    <col min="8444" max="8444" width="9.85546875" style="218" bestFit="1" customWidth="1"/>
    <col min="8445" max="8445" width="5.140625" style="218" customWidth="1"/>
    <col min="8446" max="8446" width="20.140625" style="218" bestFit="1" customWidth="1"/>
    <col min="8447" max="8447" width="9.85546875" style="218" bestFit="1" customWidth="1"/>
    <col min="8448" max="8448" width="4.28515625" style="218" customWidth="1"/>
    <col min="8449" max="8449" width="21.140625" style="218" bestFit="1" customWidth="1"/>
    <col min="8450" max="8450" width="9.85546875" style="218" bestFit="1" customWidth="1"/>
    <col min="8451" max="8451" width="4.42578125" style="218" customWidth="1"/>
    <col min="8452" max="8452" width="20.140625" style="218" bestFit="1" customWidth="1"/>
    <col min="8453" max="8453" width="9.85546875" style="218" bestFit="1" customWidth="1"/>
    <col min="8454" max="8697" width="9.140625" style="218"/>
    <col min="8698" max="8698" width="13.7109375" style="218" customWidth="1"/>
    <col min="8699" max="8699" width="20.5703125" style="218" bestFit="1" customWidth="1"/>
    <col min="8700" max="8700" width="9.85546875" style="218" bestFit="1" customWidth="1"/>
    <col min="8701" max="8701" width="5.140625" style="218" customWidth="1"/>
    <col min="8702" max="8702" width="20.140625" style="218" bestFit="1" customWidth="1"/>
    <col min="8703" max="8703" width="9.85546875" style="218" bestFit="1" customWidth="1"/>
    <col min="8704" max="8704" width="4.28515625" style="218" customWidth="1"/>
    <col min="8705" max="8705" width="21.140625" style="218" bestFit="1" customWidth="1"/>
    <col min="8706" max="8706" width="9.85546875" style="218" bestFit="1" customWidth="1"/>
    <col min="8707" max="8707" width="4.42578125" style="218" customWidth="1"/>
    <col min="8708" max="8708" width="20.140625" style="218" bestFit="1" customWidth="1"/>
    <col min="8709" max="8709" width="9.85546875" style="218" bestFit="1" customWidth="1"/>
    <col min="8710" max="8953" width="9.140625" style="218"/>
    <col min="8954" max="8954" width="13.7109375" style="218" customWidth="1"/>
    <col min="8955" max="8955" width="20.5703125" style="218" bestFit="1" customWidth="1"/>
    <col min="8956" max="8956" width="9.85546875" style="218" bestFit="1" customWidth="1"/>
    <col min="8957" max="8957" width="5.140625" style="218" customWidth="1"/>
    <col min="8958" max="8958" width="20.140625" style="218" bestFit="1" customWidth="1"/>
    <col min="8959" max="8959" width="9.85546875" style="218" bestFit="1" customWidth="1"/>
    <col min="8960" max="8960" width="4.28515625" style="218" customWidth="1"/>
    <col min="8961" max="8961" width="21.140625" style="218" bestFit="1" customWidth="1"/>
    <col min="8962" max="8962" width="9.85546875" style="218" bestFit="1" customWidth="1"/>
    <col min="8963" max="8963" width="4.42578125" style="218" customWidth="1"/>
    <col min="8964" max="8964" width="20.140625" style="218" bestFit="1" customWidth="1"/>
    <col min="8965" max="8965" width="9.85546875" style="218" bestFit="1" customWidth="1"/>
    <col min="8966" max="9209" width="9.140625" style="218"/>
    <col min="9210" max="9210" width="13.7109375" style="218" customWidth="1"/>
    <col min="9211" max="9211" width="20.5703125" style="218" bestFit="1" customWidth="1"/>
    <col min="9212" max="9212" width="9.85546875" style="218" bestFit="1" customWidth="1"/>
    <col min="9213" max="9213" width="5.140625" style="218" customWidth="1"/>
    <col min="9214" max="9214" width="20.140625" style="218" bestFit="1" customWidth="1"/>
    <col min="9215" max="9215" width="9.85546875" style="218" bestFit="1" customWidth="1"/>
    <col min="9216" max="9216" width="4.28515625" style="218" customWidth="1"/>
    <col min="9217" max="9217" width="21.140625" style="218" bestFit="1" customWidth="1"/>
    <col min="9218" max="9218" width="9.85546875" style="218" bestFit="1" customWidth="1"/>
    <col min="9219" max="9219" width="4.42578125" style="218" customWidth="1"/>
    <col min="9220" max="9220" width="20.140625" style="218" bestFit="1" customWidth="1"/>
    <col min="9221" max="9221" width="9.85546875" style="218" bestFit="1" customWidth="1"/>
    <col min="9222" max="9465" width="9.140625" style="218"/>
    <col min="9466" max="9466" width="13.7109375" style="218" customWidth="1"/>
    <col min="9467" max="9467" width="20.5703125" style="218" bestFit="1" customWidth="1"/>
    <col min="9468" max="9468" width="9.85546875" style="218" bestFit="1" customWidth="1"/>
    <col min="9469" max="9469" width="5.140625" style="218" customWidth="1"/>
    <col min="9470" max="9470" width="20.140625" style="218" bestFit="1" customWidth="1"/>
    <col min="9471" max="9471" width="9.85546875" style="218" bestFit="1" customWidth="1"/>
    <col min="9472" max="9472" width="4.28515625" style="218" customWidth="1"/>
    <col min="9473" max="9473" width="21.140625" style="218" bestFit="1" customWidth="1"/>
    <col min="9474" max="9474" width="9.85546875" style="218" bestFit="1" customWidth="1"/>
    <col min="9475" max="9475" width="4.42578125" style="218" customWidth="1"/>
    <col min="9476" max="9476" width="20.140625" style="218" bestFit="1" customWidth="1"/>
    <col min="9477" max="9477" width="9.85546875" style="218" bestFit="1" customWidth="1"/>
    <col min="9478" max="9721" width="9.140625" style="218"/>
    <col min="9722" max="9722" width="13.7109375" style="218" customWidth="1"/>
    <col min="9723" max="9723" width="20.5703125" style="218" bestFit="1" customWidth="1"/>
    <col min="9724" max="9724" width="9.85546875" style="218" bestFit="1" customWidth="1"/>
    <col min="9725" max="9725" width="5.140625" style="218" customWidth="1"/>
    <col min="9726" max="9726" width="20.140625" style="218" bestFit="1" customWidth="1"/>
    <col min="9727" max="9727" width="9.85546875" style="218" bestFit="1" customWidth="1"/>
    <col min="9728" max="9728" width="4.28515625" style="218" customWidth="1"/>
    <col min="9729" max="9729" width="21.140625" style="218" bestFit="1" customWidth="1"/>
    <col min="9730" max="9730" width="9.85546875" style="218" bestFit="1" customWidth="1"/>
    <col min="9731" max="9731" width="4.42578125" style="218" customWidth="1"/>
    <col min="9732" max="9732" width="20.140625" style="218" bestFit="1" customWidth="1"/>
    <col min="9733" max="9733" width="9.85546875" style="218" bestFit="1" customWidth="1"/>
    <col min="9734" max="9977" width="9.140625" style="218"/>
    <col min="9978" max="9978" width="13.7109375" style="218" customWidth="1"/>
    <col min="9979" max="9979" width="20.5703125" style="218" bestFit="1" customWidth="1"/>
    <col min="9980" max="9980" width="9.85546875" style="218" bestFit="1" customWidth="1"/>
    <col min="9981" max="9981" width="5.140625" style="218" customWidth="1"/>
    <col min="9982" max="9982" width="20.140625" style="218" bestFit="1" customWidth="1"/>
    <col min="9983" max="9983" width="9.85546875" style="218" bestFit="1" customWidth="1"/>
    <col min="9984" max="9984" width="4.28515625" style="218" customWidth="1"/>
    <col min="9985" max="9985" width="21.140625" style="218" bestFit="1" customWidth="1"/>
    <col min="9986" max="9986" width="9.85546875" style="218" bestFit="1" customWidth="1"/>
    <col min="9987" max="9987" width="4.42578125" style="218" customWidth="1"/>
    <col min="9988" max="9988" width="20.140625" style="218" bestFit="1" customWidth="1"/>
    <col min="9989" max="9989" width="9.85546875" style="218" bestFit="1" customWidth="1"/>
    <col min="9990" max="10233" width="9.140625" style="218"/>
    <col min="10234" max="10234" width="13.7109375" style="218" customWidth="1"/>
    <col min="10235" max="10235" width="20.5703125" style="218" bestFit="1" customWidth="1"/>
    <col min="10236" max="10236" width="9.85546875" style="218" bestFit="1" customWidth="1"/>
    <col min="10237" max="10237" width="5.140625" style="218" customWidth="1"/>
    <col min="10238" max="10238" width="20.140625" style="218" bestFit="1" customWidth="1"/>
    <col min="10239" max="10239" width="9.85546875" style="218" bestFit="1" customWidth="1"/>
    <col min="10240" max="10240" width="4.28515625" style="218" customWidth="1"/>
    <col min="10241" max="10241" width="21.140625" style="218" bestFit="1" customWidth="1"/>
    <col min="10242" max="10242" width="9.85546875" style="218" bestFit="1" customWidth="1"/>
    <col min="10243" max="10243" width="4.42578125" style="218" customWidth="1"/>
    <col min="10244" max="10244" width="20.140625" style="218" bestFit="1" customWidth="1"/>
    <col min="10245" max="10245" width="9.85546875" style="218" bestFit="1" customWidth="1"/>
    <col min="10246" max="10489" width="9.140625" style="218"/>
    <col min="10490" max="10490" width="13.7109375" style="218" customWidth="1"/>
    <col min="10491" max="10491" width="20.5703125" style="218" bestFit="1" customWidth="1"/>
    <col min="10492" max="10492" width="9.85546875" style="218" bestFit="1" customWidth="1"/>
    <col min="10493" max="10493" width="5.140625" style="218" customWidth="1"/>
    <col min="10494" max="10494" width="20.140625" style="218" bestFit="1" customWidth="1"/>
    <col min="10495" max="10495" width="9.85546875" style="218" bestFit="1" customWidth="1"/>
    <col min="10496" max="10496" width="4.28515625" style="218" customWidth="1"/>
    <col min="10497" max="10497" width="21.140625" style="218" bestFit="1" customWidth="1"/>
    <col min="10498" max="10498" width="9.85546875" style="218" bestFit="1" customWidth="1"/>
    <col min="10499" max="10499" width="4.42578125" style="218" customWidth="1"/>
    <col min="10500" max="10500" width="20.140625" style="218" bestFit="1" customWidth="1"/>
    <col min="10501" max="10501" width="9.85546875" style="218" bestFit="1" customWidth="1"/>
    <col min="10502" max="10745" width="9.140625" style="218"/>
    <col min="10746" max="10746" width="13.7109375" style="218" customWidth="1"/>
    <col min="10747" max="10747" width="20.5703125" style="218" bestFit="1" customWidth="1"/>
    <col min="10748" max="10748" width="9.85546875" style="218" bestFit="1" customWidth="1"/>
    <col min="10749" max="10749" width="5.140625" style="218" customWidth="1"/>
    <col min="10750" max="10750" width="20.140625" style="218" bestFit="1" customWidth="1"/>
    <col min="10751" max="10751" width="9.85546875" style="218" bestFit="1" customWidth="1"/>
    <col min="10752" max="10752" width="4.28515625" style="218" customWidth="1"/>
    <col min="10753" max="10753" width="21.140625" style="218" bestFit="1" customWidth="1"/>
    <col min="10754" max="10754" width="9.85546875" style="218" bestFit="1" customWidth="1"/>
    <col min="10755" max="10755" width="4.42578125" style="218" customWidth="1"/>
    <col min="10756" max="10756" width="20.140625" style="218" bestFit="1" customWidth="1"/>
    <col min="10757" max="10757" width="9.85546875" style="218" bestFit="1" customWidth="1"/>
    <col min="10758" max="11001" width="9.140625" style="218"/>
    <col min="11002" max="11002" width="13.7109375" style="218" customWidth="1"/>
    <col min="11003" max="11003" width="20.5703125" style="218" bestFit="1" customWidth="1"/>
    <col min="11004" max="11004" width="9.85546875" style="218" bestFit="1" customWidth="1"/>
    <col min="11005" max="11005" width="5.140625" style="218" customWidth="1"/>
    <col min="11006" max="11006" width="20.140625" style="218" bestFit="1" customWidth="1"/>
    <col min="11007" max="11007" width="9.85546875" style="218" bestFit="1" customWidth="1"/>
    <col min="11008" max="11008" width="4.28515625" style="218" customWidth="1"/>
    <col min="11009" max="11009" width="21.140625" style="218" bestFit="1" customWidth="1"/>
    <col min="11010" max="11010" width="9.85546875" style="218" bestFit="1" customWidth="1"/>
    <col min="11011" max="11011" width="4.42578125" style="218" customWidth="1"/>
    <col min="11012" max="11012" width="20.140625" style="218" bestFit="1" customWidth="1"/>
    <col min="11013" max="11013" width="9.85546875" style="218" bestFit="1" customWidth="1"/>
    <col min="11014" max="11257" width="9.140625" style="218"/>
    <col min="11258" max="11258" width="13.7109375" style="218" customWidth="1"/>
    <col min="11259" max="11259" width="20.5703125" style="218" bestFit="1" customWidth="1"/>
    <col min="11260" max="11260" width="9.85546875" style="218" bestFit="1" customWidth="1"/>
    <col min="11261" max="11261" width="5.140625" style="218" customWidth="1"/>
    <col min="11262" max="11262" width="20.140625" style="218" bestFit="1" customWidth="1"/>
    <col min="11263" max="11263" width="9.85546875" style="218" bestFit="1" customWidth="1"/>
    <col min="11264" max="11264" width="4.28515625" style="218" customWidth="1"/>
    <col min="11265" max="11265" width="21.140625" style="218" bestFit="1" customWidth="1"/>
    <col min="11266" max="11266" width="9.85546875" style="218" bestFit="1" customWidth="1"/>
    <col min="11267" max="11267" width="4.42578125" style="218" customWidth="1"/>
    <col min="11268" max="11268" width="20.140625" style="218" bestFit="1" customWidth="1"/>
    <col min="11269" max="11269" width="9.85546875" style="218" bestFit="1" customWidth="1"/>
    <col min="11270" max="11513" width="9.140625" style="218"/>
    <col min="11514" max="11514" width="13.7109375" style="218" customWidth="1"/>
    <col min="11515" max="11515" width="20.5703125" style="218" bestFit="1" customWidth="1"/>
    <col min="11516" max="11516" width="9.85546875" style="218" bestFit="1" customWidth="1"/>
    <col min="11517" max="11517" width="5.140625" style="218" customWidth="1"/>
    <col min="11518" max="11518" width="20.140625" style="218" bestFit="1" customWidth="1"/>
    <col min="11519" max="11519" width="9.85546875" style="218" bestFit="1" customWidth="1"/>
    <col min="11520" max="11520" width="4.28515625" style="218" customWidth="1"/>
    <col min="11521" max="11521" width="21.140625" style="218" bestFit="1" customWidth="1"/>
    <col min="11522" max="11522" width="9.85546875" style="218" bestFit="1" customWidth="1"/>
    <col min="11523" max="11523" width="4.42578125" style="218" customWidth="1"/>
    <col min="11524" max="11524" width="20.140625" style="218" bestFit="1" customWidth="1"/>
    <col min="11525" max="11525" width="9.85546875" style="218" bestFit="1" customWidth="1"/>
    <col min="11526" max="11769" width="9.140625" style="218"/>
    <col min="11770" max="11770" width="13.7109375" style="218" customWidth="1"/>
    <col min="11771" max="11771" width="20.5703125" style="218" bestFit="1" customWidth="1"/>
    <col min="11772" max="11772" width="9.85546875" style="218" bestFit="1" customWidth="1"/>
    <col min="11773" max="11773" width="5.140625" style="218" customWidth="1"/>
    <col min="11774" max="11774" width="20.140625" style="218" bestFit="1" customWidth="1"/>
    <col min="11775" max="11775" width="9.85546875" style="218" bestFit="1" customWidth="1"/>
    <col min="11776" max="11776" width="4.28515625" style="218" customWidth="1"/>
    <col min="11777" max="11777" width="21.140625" style="218" bestFit="1" customWidth="1"/>
    <col min="11778" max="11778" width="9.85546875" style="218" bestFit="1" customWidth="1"/>
    <col min="11779" max="11779" width="4.42578125" style="218" customWidth="1"/>
    <col min="11780" max="11780" width="20.140625" style="218" bestFit="1" customWidth="1"/>
    <col min="11781" max="11781" width="9.85546875" style="218" bestFit="1" customWidth="1"/>
    <col min="11782" max="12025" width="9.140625" style="218"/>
    <col min="12026" max="12026" width="13.7109375" style="218" customWidth="1"/>
    <col min="12027" max="12027" width="20.5703125" style="218" bestFit="1" customWidth="1"/>
    <col min="12028" max="12028" width="9.85546875" style="218" bestFit="1" customWidth="1"/>
    <col min="12029" max="12029" width="5.140625" style="218" customWidth="1"/>
    <col min="12030" max="12030" width="20.140625" style="218" bestFit="1" customWidth="1"/>
    <col min="12031" max="12031" width="9.85546875" style="218" bestFit="1" customWidth="1"/>
    <col min="12032" max="12032" width="4.28515625" style="218" customWidth="1"/>
    <col min="12033" max="12033" width="21.140625" style="218" bestFit="1" customWidth="1"/>
    <col min="12034" max="12034" width="9.85546875" style="218" bestFit="1" customWidth="1"/>
    <col min="12035" max="12035" width="4.42578125" style="218" customWidth="1"/>
    <col min="12036" max="12036" width="20.140625" style="218" bestFit="1" customWidth="1"/>
    <col min="12037" max="12037" width="9.85546875" style="218" bestFit="1" customWidth="1"/>
    <col min="12038" max="12281" width="9.140625" style="218"/>
    <col min="12282" max="12282" width="13.7109375" style="218" customWidth="1"/>
    <col min="12283" max="12283" width="20.5703125" style="218" bestFit="1" customWidth="1"/>
    <col min="12284" max="12284" width="9.85546875" style="218" bestFit="1" customWidth="1"/>
    <col min="12285" max="12285" width="5.140625" style="218" customWidth="1"/>
    <col min="12286" max="12286" width="20.140625" style="218" bestFit="1" customWidth="1"/>
    <col min="12287" max="12287" width="9.85546875" style="218" bestFit="1" customWidth="1"/>
    <col min="12288" max="12288" width="4.28515625" style="218" customWidth="1"/>
    <col min="12289" max="12289" width="21.140625" style="218" bestFit="1" customWidth="1"/>
    <col min="12290" max="12290" width="9.85546875" style="218" bestFit="1" customWidth="1"/>
    <col min="12291" max="12291" width="4.42578125" style="218" customWidth="1"/>
    <col min="12292" max="12292" width="20.140625" style="218" bestFit="1" customWidth="1"/>
    <col min="12293" max="12293" width="9.85546875" style="218" bestFit="1" customWidth="1"/>
    <col min="12294" max="12537" width="9.140625" style="218"/>
    <col min="12538" max="12538" width="13.7109375" style="218" customWidth="1"/>
    <col min="12539" max="12539" width="20.5703125" style="218" bestFit="1" customWidth="1"/>
    <col min="12540" max="12540" width="9.85546875" style="218" bestFit="1" customWidth="1"/>
    <col min="12541" max="12541" width="5.140625" style="218" customWidth="1"/>
    <col min="12542" max="12542" width="20.140625" style="218" bestFit="1" customWidth="1"/>
    <col min="12543" max="12543" width="9.85546875" style="218" bestFit="1" customWidth="1"/>
    <col min="12544" max="12544" width="4.28515625" style="218" customWidth="1"/>
    <col min="12545" max="12545" width="21.140625" style="218" bestFit="1" customWidth="1"/>
    <col min="12546" max="12546" width="9.85546875" style="218" bestFit="1" customWidth="1"/>
    <col min="12547" max="12547" width="4.42578125" style="218" customWidth="1"/>
    <col min="12548" max="12548" width="20.140625" style="218" bestFit="1" customWidth="1"/>
    <col min="12549" max="12549" width="9.85546875" style="218" bestFit="1" customWidth="1"/>
    <col min="12550" max="12793" width="9.140625" style="218"/>
    <col min="12794" max="12794" width="13.7109375" style="218" customWidth="1"/>
    <col min="12795" max="12795" width="20.5703125" style="218" bestFit="1" customWidth="1"/>
    <col min="12796" max="12796" width="9.85546875" style="218" bestFit="1" customWidth="1"/>
    <col min="12797" max="12797" width="5.140625" style="218" customWidth="1"/>
    <col min="12798" max="12798" width="20.140625" style="218" bestFit="1" customWidth="1"/>
    <col min="12799" max="12799" width="9.85546875" style="218" bestFit="1" customWidth="1"/>
    <col min="12800" max="12800" width="4.28515625" style="218" customWidth="1"/>
    <col min="12801" max="12801" width="21.140625" style="218" bestFit="1" customWidth="1"/>
    <col min="12802" max="12802" width="9.85546875" style="218" bestFit="1" customWidth="1"/>
    <col min="12803" max="12803" width="4.42578125" style="218" customWidth="1"/>
    <col min="12804" max="12804" width="20.140625" style="218" bestFit="1" customWidth="1"/>
    <col min="12805" max="12805" width="9.85546875" style="218" bestFit="1" customWidth="1"/>
    <col min="12806" max="13049" width="9.140625" style="218"/>
    <col min="13050" max="13050" width="13.7109375" style="218" customWidth="1"/>
    <col min="13051" max="13051" width="20.5703125" style="218" bestFit="1" customWidth="1"/>
    <col min="13052" max="13052" width="9.85546875" style="218" bestFit="1" customWidth="1"/>
    <col min="13053" max="13053" width="5.140625" style="218" customWidth="1"/>
    <col min="13054" max="13054" width="20.140625" style="218" bestFit="1" customWidth="1"/>
    <col min="13055" max="13055" width="9.85546875" style="218" bestFit="1" customWidth="1"/>
    <col min="13056" max="13056" width="4.28515625" style="218" customWidth="1"/>
    <col min="13057" max="13057" width="21.140625" style="218" bestFit="1" customWidth="1"/>
    <col min="13058" max="13058" width="9.85546875" style="218" bestFit="1" customWidth="1"/>
    <col min="13059" max="13059" width="4.42578125" style="218" customWidth="1"/>
    <col min="13060" max="13060" width="20.140625" style="218" bestFit="1" customWidth="1"/>
    <col min="13061" max="13061" width="9.85546875" style="218" bestFit="1" customWidth="1"/>
    <col min="13062" max="13305" width="9.140625" style="218"/>
    <col min="13306" max="13306" width="13.7109375" style="218" customWidth="1"/>
    <col min="13307" max="13307" width="20.5703125" style="218" bestFit="1" customWidth="1"/>
    <col min="13308" max="13308" width="9.85546875" style="218" bestFit="1" customWidth="1"/>
    <col min="13309" max="13309" width="5.140625" style="218" customWidth="1"/>
    <col min="13310" max="13310" width="20.140625" style="218" bestFit="1" customWidth="1"/>
    <col min="13311" max="13311" width="9.85546875" style="218" bestFit="1" customWidth="1"/>
    <col min="13312" max="13312" width="4.28515625" style="218" customWidth="1"/>
    <col min="13313" max="13313" width="21.140625" style="218" bestFit="1" customWidth="1"/>
    <col min="13314" max="13314" width="9.85546875" style="218" bestFit="1" customWidth="1"/>
    <col min="13315" max="13315" width="4.42578125" style="218" customWidth="1"/>
    <col min="13316" max="13316" width="20.140625" style="218" bestFit="1" customWidth="1"/>
    <col min="13317" max="13317" width="9.85546875" style="218" bestFit="1" customWidth="1"/>
    <col min="13318" max="13561" width="9.140625" style="218"/>
    <col min="13562" max="13562" width="13.7109375" style="218" customWidth="1"/>
    <col min="13563" max="13563" width="20.5703125" style="218" bestFit="1" customWidth="1"/>
    <col min="13564" max="13564" width="9.85546875" style="218" bestFit="1" customWidth="1"/>
    <col min="13565" max="13565" width="5.140625" style="218" customWidth="1"/>
    <col min="13566" max="13566" width="20.140625" style="218" bestFit="1" customWidth="1"/>
    <col min="13567" max="13567" width="9.85546875" style="218" bestFit="1" customWidth="1"/>
    <col min="13568" max="13568" width="4.28515625" style="218" customWidth="1"/>
    <col min="13569" max="13569" width="21.140625" style="218" bestFit="1" customWidth="1"/>
    <col min="13570" max="13570" width="9.85546875" style="218" bestFit="1" customWidth="1"/>
    <col min="13571" max="13571" width="4.42578125" style="218" customWidth="1"/>
    <col min="13572" max="13572" width="20.140625" style="218" bestFit="1" customWidth="1"/>
    <col min="13573" max="13573" width="9.85546875" style="218" bestFit="1" customWidth="1"/>
    <col min="13574" max="13817" width="9.140625" style="218"/>
    <col min="13818" max="13818" width="13.7109375" style="218" customWidth="1"/>
    <col min="13819" max="13819" width="20.5703125" style="218" bestFit="1" customWidth="1"/>
    <col min="13820" max="13820" width="9.85546875" style="218" bestFit="1" customWidth="1"/>
    <col min="13821" max="13821" width="5.140625" style="218" customWidth="1"/>
    <col min="13822" max="13822" width="20.140625" style="218" bestFit="1" customWidth="1"/>
    <col min="13823" max="13823" width="9.85546875" style="218" bestFit="1" customWidth="1"/>
    <col min="13824" max="13824" width="4.28515625" style="218" customWidth="1"/>
    <col min="13825" max="13825" width="21.140625" style="218" bestFit="1" customWidth="1"/>
    <col min="13826" max="13826" width="9.85546875" style="218" bestFit="1" customWidth="1"/>
    <col min="13827" max="13827" width="4.42578125" style="218" customWidth="1"/>
    <col min="13828" max="13828" width="20.140625" style="218" bestFit="1" customWidth="1"/>
    <col min="13829" max="13829" width="9.85546875" style="218" bestFit="1" customWidth="1"/>
    <col min="13830" max="14073" width="9.140625" style="218"/>
    <col min="14074" max="14074" width="13.7109375" style="218" customWidth="1"/>
    <col min="14075" max="14075" width="20.5703125" style="218" bestFit="1" customWidth="1"/>
    <col min="14076" max="14076" width="9.85546875" style="218" bestFit="1" customWidth="1"/>
    <col min="14077" max="14077" width="5.140625" style="218" customWidth="1"/>
    <col min="14078" max="14078" width="20.140625" style="218" bestFit="1" customWidth="1"/>
    <col min="14079" max="14079" width="9.85546875" style="218" bestFit="1" customWidth="1"/>
    <col min="14080" max="14080" width="4.28515625" style="218" customWidth="1"/>
    <col min="14081" max="14081" width="21.140625" style="218" bestFit="1" customWidth="1"/>
    <col min="14082" max="14082" width="9.85546875" style="218" bestFit="1" customWidth="1"/>
    <col min="14083" max="14083" width="4.42578125" style="218" customWidth="1"/>
    <col min="14084" max="14084" width="20.140625" style="218" bestFit="1" customWidth="1"/>
    <col min="14085" max="14085" width="9.85546875" style="218" bestFit="1" customWidth="1"/>
    <col min="14086" max="14329" width="9.140625" style="218"/>
    <col min="14330" max="14330" width="13.7109375" style="218" customWidth="1"/>
    <col min="14331" max="14331" width="20.5703125" style="218" bestFit="1" customWidth="1"/>
    <col min="14332" max="14332" width="9.85546875" style="218" bestFit="1" customWidth="1"/>
    <col min="14333" max="14333" width="5.140625" style="218" customWidth="1"/>
    <col min="14334" max="14334" width="20.140625" style="218" bestFit="1" customWidth="1"/>
    <col min="14335" max="14335" width="9.85546875" style="218" bestFit="1" customWidth="1"/>
    <col min="14336" max="14336" width="4.28515625" style="218" customWidth="1"/>
    <col min="14337" max="14337" width="21.140625" style="218" bestFit="1" customWidth="1"/>
    <col min="14338" max="14338" width="9.85546875" style="218" bestFit="1" customWidth="1"/>
    <col min="14339" max="14339" width="4.42578125" style="218" customWidth="1"/>
    <col min="14340" max="14340" width="20.140625" style="218" bestFit="1" customWidth="1"/>
    <col min="14341" max="14341" width="9.85546875" style="218" bestFit="1" customWidth="1"/>
    <col min="14342" max="14585" width="9.140625" style="218"/>
    <col min="14586" max="14586" width="13.7109375" style="218" customWidth="1"/>
    <col min="14587" max="14587" width="20.5703125" style="218" bestFit="1" customWidth="1"/>
    <col min="14588" max="14588" width="9.85546875" style="218" bestFit="1" customWidth="1"/>
    <col min="14589" max="14589" width="5.140625" style="218" customWidth="1"/>
    <col min="14590" max="14590" width="20.140625" style="218" bestFit="1" customWidth="1"/>
    <col min="14591" max="14591" width="9.85546875" style="218" bestFit="1" customWidth="1"/>
    <col min="14592" max="14592" width="4.28515625" style="218" customWidth="1"/>
    <col min="14593" max="14593" width="21.140625" style="218" bestFit="1" customWidth="1"/>
    <col min="14594" max="14594" width="9.85546875" style="218" bestFit="1" customWidth="1"/>
    <col min="14595" max="14595" width="4.42578125" style="218" customWidth="1"/>
    <col min="14596" max="14596" width="20.140625" style="218" bestFit="1" customWidth="1"/>
    <col min="14597" max="14597" width="9.85546875" style="218" bestFit="1" customWidth="1"/>
    <col min="14598" max="14841" width="9.140625" style="218"/>
    <col min="14842" max="14842" width="13.7109375" style="218" customWidth="1"/>
    <col min="14843" max="14843" width="20.5703125" style="218" bestFit="1" customWidth="1"/>
    <col min="14844" max="14844" width="9.85546875" style="218" bestFit="1" customWidth="1"/>
    <col min="14845" max="14845" width="5.140625" style="218" customWidth="1"/>
    <col min="14846" max="14846" width="20.140625" style="218" bestFit="1" customWidth="1"/>
    <col min="14847" max="14847" width="9.85546875" style="218" bestFit="1" customWidth="1"/>
    <col min="14848" max="14848" width="4.28515625" style="218" customWidth="1"/>
    <col min="14849" max="14849" width="21.140625" style="218" bestFit="1" customWidth="1"/>
    <col min="14850" max="14850" width="9.85546875" style="218" bestFit="1" customWidth="1"/>
    <col min="14851" max="14851" width="4.42578125" style="218" customWidth="1"/>
    <col min="14852" max="14852" width="20.140625" style="218" bestFit="1" customWidth="1"/>
    <col min="14853" max="14853" width="9.85546875" style="218" bestFit="1" customWidth="1"/>
    <col min="14854" max="15097" width="9.140625" style="218"/>
    <col min="15098" max="15098" width="13.7109375" style="218" customWidth="1"/>
    <col min="15099" max="15099" width="20.5703125" style="218" bestFit="1" customWidth="1"/>
    <col min="15100" max="15100" width="9.85546875" style="218" bestFit="1" customWidth="1"/>
    <col min="15101" max="15101" width="5.140625" style="218" customWidth="1"/>
    <col min="15102" max="15102" width="20.140625" style="218" bestFit="1" customWidth="1"/>
    <col min="15103" max="15103" width="9.85546875" style="218" bestFit="1" customWidth="1"/>
    <col min="15104" max="15104" width="4.28515625" style="218" customWidth="1"/>
    <col min="15105" max="15105" width="21.140625" style="218" bestFit="1" customWidth="1"/>
    <col min="15106" max="15106" width="9.85546875" style="218" bestFit="1" customWidth="1"/>
    <col min="15107" max="15107" width="4.42578125" style="218" customWidth="1"/>
    <col min="15108" max="15108" width="20.140625" style="218" bestFit="1" customWidth="1"/>
    <col min="15109" max="15109" width="9.85546875" style="218" bestFit="1" customWidth="1"/>
    <col min="15110" max="15353" width="9.140625" style="218"/>
    <col min="15354" max="15354" width="13.7109375" style="218" customWidth="1"/>
    <col min="15355" max="15355" width="20.5703125" style="218" bestFit="1" customWidth="1"/>
    <col min="15356" max="15356" width="9.85546875" style="218" bestFit="1" customWidth="1"/>
    <col min="15357" max="15357" width="5.140625" style="218" customWidth="1"/>
    <col min="15358" max="15358" width="20.140625" style="218" bestFit="1" customWidth="1"/>
    <col min="15359" max="15359" width="9.85546875" style="218" bestFit="1" customWidth="1"/>
    <col min="15360" max="15360" width="4.28515625" style="218" customWidth="1"/>
    <col min="15361" max="15361" width="21.140625" style="218" bestFit="1" customWidth="1"/>
    <col min="15362" max="15362" width="9.85546875" style="218" bestFit="1" customWidth="1"/>
    <col min="15363" max="15363" width="4.42578125" style="218" customWidth="1"/>
    <col min="15364" max="15364" width="20.140625" style="218" bestFit="1" customWidth="1"/>
    <col min="15365" max="15365" width="9.85546875" style="218" bestFit="1" customWidth="1"/>
    <col min="15366" max="15609" width="9.140625" style="218"/>
    <col min="15610" max="15610" width="13.7109375" style="218" customWidth="1"/>
    <col min="15611" max="15611" width="20.5703125" style="218" bestFit="1" customWidth="1"/>
    <col min="15612" max="15612" width="9.85546875" style="218" bestFit="1" customWidth="1"/>
    <col min="15613" max="15613" width="5.140625" style="218" customWidth="1"/>
    <col min="15614" max="15614" width="20.140625" style="218" bestFit="1" customWidth="1"/>
    <col min="15615" max="15615" width="9.85546875" style="218" bestFit="1" customWidth="1"/>
    <col min="15616" max="15616" width="4.28515625" style="218" customWidth="1"/>
    <col min="15617" max="15617" width="21.140625" style="218" bestFit="1" customWidth="1"/>
    <col min="15618" max="15618" width="9.85546875" style="218" bestFit="1" customWidth="1"/>
    <col min="15619" max="15619" width="4.42578125" style="218" customWidth="1"/>
    <col min="15620" max="15620" width="20.140625" style="218" bestFit="1" customWidth="1"/>
    <col min="15621" max="15621" width="9.85546875" style="218" bestFit="1" customWidth="1"/>
    <col min="15622" max="15865" width="9.140625" style="218"/>
    <col min="15866" max="15866" width="13.7109375" style="218" customWidth="1"/>
    <col min="15867" max="15867" width="20.5703125" style="218" bestFit="1" customWidth="1"/>
    <col min="15868" max="15868" width="9.85546875" style="218" bestFit="1" customWidth="1"/>
    <col min="15869" max="15869" width="5.140625" style="218" customWidth="1"/>
    <col min="15870" max="15870" width="20.140625" style="218" bestFit="1" customWidth="1"/>
    <col min="15871" max="15871" width="9.85546875" style="218" bestFit="1" customWidth="1"/>
    <col min="15872" max="15872" width="4.28515625" style="218" customWidth="1"/>
    <col min="15873" max="15873" width="21.140625" style="218" bestFit="1" customWidth="1"/>
    <col min="15874" max="15874" width="9.85546875" style="218" bestFit="1" customWidth="1"/>
    <col min="15875" max="15875" width="4.42578125" style="218" customWidth="1"/>
    <col min="15876" max="15876" width="20.140625" style="218" bestFit="1" customWidth="1"/>
    <col min="15877" max="15877" width="9.85546875" style="218" bestFit="1" customWidth="1"/>
    <col min="15878" max="16121" width="9.140625" style="218"/>
    <col min="16122" max="16122" width="13.7109375" style="218" customWidth="1"/>
    <col min="16123" max="16123" width="20.5703125" style="218" bestFit="1" customWidth="1"/>
    <col min="16124" max="16124" width="9.85546875" style="218" bestFit="1" customWidth="1"/>
    <col min="16125" max="16125" width="5.140625" style="218" customWidth="1"/>
    <col min="16126" max="16126" width="20.140625" style="218" bestFit="1" customWidth="1"/>
    <col min="16127" max="16127" width="9.85546875" style="218" bestFit="1" customWidth="1"/>
    <col min="16128" max="16128" width="4.28515625" style="218" customWidth="1"/>
    <col min="16129" max="16129" width="21.140625" style="218" bestFit="1" customWidth="1"/>
    <col min="16130" max="16130" width="9.85546875" style="218" bestFit="1" customWidth="1"/>
    <col min="16131" max="16131" width="4.42578125" style="218" customWidth="1"/>
    <col min="16132" max="16132" width="20.140625" style="218" bestFit="1" customWidth="1"/>
    <col min="16133" max="16133" width="9.85546875" style="218" bestFit="1" customWidth="1"/>
    <col min="16134" max="16384" width="9.140625" style="218"/>
  </cols>
  <sheetData>
    <row r="1" spans="1:18" s="197" customFormat="1" ht="19.5" x14ac:dyDescent="0.35">
      <c r="A1" s="446" t="s">
        <v>328</v>
      </c>
      <c r="B1" s="446"/>
      <c r="C1" s="446"/>
      <c r="D1" s="446"/>
      <c r="E1" s="446"/>
      <c r="F1" s="446"/>
      <c r="G1" s="446"/>
      <c r="H1" s="446"/>
      <c r="I1" s="446"/>
    </row>
    <row r="2" spans="1:18" s="197" customFormat="1" ht="19.5" x14ac:dyDescent="0.35">
      <c r="A2" s="445" t="s">
        <v>3</v>
      </c>
      <c r="B2" s="447"/>
      <c r="C2" s="198"/>
      <c r="D2" s="198"/>
      <c r="E2" s="198"/>
      <c r="F2" s="198"/>
      <c r="G2" s="198"/>
      <c r="H2" s="198"/>
      <c r="I2" s="198"/>
    </row>
    <row r="3" spans="1:18" s="197" customFormat="1" ht="19.5" x14ac:dyDescent="0.35">
      <c r="A3" s="446" t="s">
        <v>329</v>
      </c>
      <c r="B3" s="446"/>
      <c r="C3" s="446"/>
      <c r="D3" s="446"/>
      <c r="E3" s="446"/>
      <c r="F3" s="446"/>
      <c r="G3" s="446"/>
      <c r="H3" s="446"/>
      <c r="I3" s="446"/>
    </row>
    <row r="4" spans="1:18" s="197" customFormat="1" ht="19.5" x14ac:dyDescent="0.35">
      <c r="A4" s="446" t="s">
        <v>330</v>
      </c>
      <c r="B4" s="446"/>
      <c r="C4" s="446"/>
      <c r="D4" s="446"/>
      <c r="E4" s="446"/>
      <c r="F4" s="446"/>
      <c r="G4" s="446"/>
      <c r="H4" s="446"/>
      <c r="I4" s="446"/>
    </row>
    <row r="5" spans="1:18" s="197" customFormat="1" ht="18.75" x14ac:dyDescent="0.3">
      <c r="A5" s="199"/>
      <c r="B5" s="199"/>
      <c r="C5" s="199"/>
      <c r="D5" s="199"/>
      <c r="E5" s="199"/>
      <c r="F5" s="199"/>
      <c r="G5" s="199"/>
      <c r="H5" s="199"/>
      <c r="I5" s="199"/>
    </row>
    <row r="6" spans="1:18" s="200" customFormat="1" ht="25.5" customHeight="1" x14ac:dyDescent="0.3">
      <c r="B6" s="201" t="s">
        <v>331</v>
      </c>
      <c r="C6" s="201" t="s">
        <v>332</v>
      </c>
      <c r="D6" s="201" t="s">
        <v>333</v>
      </c>
      <c r="E6" s="201" t="s">
        <v>334</v>
      </c>
      <c r="F6" s="201" t="s">
        <v>335</v>
      </c>
      <c r="G6" s="201" t="s">
        <v>336</v>
      </c>
      <c r="H6" s="201" t="s">
        <v>337</v>
      </c>
      <c r="I6" s="201" t="s">
        <v>338</v>
      </c>
    </row>
    <row r="7" spans="1:18" s="202" customFormat="1" ht="15" x14ac:dyDescent="0.3">
      <c r="A7" s="202" t="s">
        <v>339</v>
      </c>
      <c r="B7" s="203">
        <f>5174688.04+980159.25+136544.36+999832572.03+6980872993.98+111505390.93+12848943.9+1244047.81</f>
        <v>8112595340.3000002</v>
      </c>
      <c r="C7" s="203">
        <f>14685698.67+1628290.34+594825.68+87798.73+785985959.95+6549350753.32+119618261.59+173781269.33+42500+6521.27+11831652.1+2527839.27</f>
        <v>7660141370.250001</v>
      </c>
      <c r="D7" s="203">
        <f>884.04-884.04+5849.97+274250.81+2354.49+1442619.74+396002.15+99666.02-9312365.38+752914.99-3305101.33-3653022.57+523577.93+1097448.7+761064.82+57787416.37+34261601.58+5294363.16+1323786.97+472543.77-3232401.53+29065261.8-4556114.68-637923.34+2156485.13-178243.83-1002707.93+1453894.19+6809186.16-143101.86-169207.12-91656125.93+1645987166.79-52724131.27-14907.91+9186570.92+26456664.6+6079778.52+99100340.44+5873842473.18+2982428.55+552565.35-1080547.71-24155105.8-23835819.23-14479644.42-138338.96+562537.38+1329904.75+98042.86+302653.14+803965.81+660420.8+19314.36+620930.02+802145.55+553537.48+1275529.28+1913767.91+9203219.79+47487102.39+30807059.46+559742.55+1399567.09+9282934.14+1769112.92+18775889.6+625200.69+60863.65+656038.44+100790.03+1255552.34+9632897.72+744978.06+37605538.22+7082.55+50070685.5+1958.55+470260.19+6561+1338636.19+1557756.9</f>
        <v>7806255643.6100016</v>
      </c>
      <c r="E7" s="203">
        <v>7719668478.1800003</v>
      </c>
      <c r="F7" s="203">
        <v>8432717180</v>
      </c>
      <c r="G7" s="203">
        <v>8751738201</v>
      </c>
      <c r="H7" s="203">
        <f>9055206456</f>
        <v>9055206456</v>
      </c>
      <c r="I7" s="203">
        <f>9021797255</f>
        <v>9021797255</v>
      </c>
    </row>
    <row r="8" spans="1:18" s="202" customFormat="1" ht="17.25" x14ac:dyDescent="0.3">
      <c r="A8" s="202" t="s">
        <v>340</v>
      </c>
      <c r="B8" s="203">
        <f>2318507905.25</f>
        <v>2318507905.25</v>
      </c>
      <c r="C8" s="203">
        <f>2465689313.14</f>
        <v>2465689313.1399999</v>
      </c>
      <c r="D8" s="203">
        <f>3026960878.7</f>
        <v>3026960878.6999998</v>
      </c>
      <c r="E8" s="203">
        <v>3517694236.7600002</v>
      </c>
      <c r="F8" s="203">
        <v>3403784494.8699999</v>
      </c>
      <c r="G8" s="203">
        <v>3557689464.0100002</v>
      </c>
      <c r="H8" s="203">
        <f>3492782813.31</f>
        <v>3492782813.3099999</v>
      </c>
      <c r="I8" s="203">
        <f>3515055562</f>
        <v>3515055562</v>
      </c>
    </row>
    <row r="9" spans="1:18" s="202" customFormat="1" ht="17.25" x14ac:dyDescent="0.3">
      <c r="A9" s="202" t="s">
        <v>341</v>
      </c>
      <c r="B9" s="203">
        <f>B11-B7-B8-B10</f>
        <v>2408696564.5300002</v>
      </c>
      <c r="C9" s="203">
        <f>C11-C7-C8-C10</f>
        <v>3143872656.8899984</v>
      </c>
      <c r="D9" s="203">
        <f>D11-(D7+D8+D10)</f>
        <v>3380395605.789999</v>
      </c>
      <c r="E9" s="203">
        <f>E11-(E7+E8+E10)</f>
        <v>1405791603.1599979</v>
      </c>
      <c r="F9" s="203">
        <v>1466595537</v>
      </c>
      <c r="G9" s="203">
        <v>813518995.89999998</v>
      </c>
      <c r="H9" s="203">
        <f>10278331361.03-H7-H10</f>
        <v>1223240332.1900008</v>
      </c>
      <c r="I9" s="203">
        <f>1633878868</f>
        <v>1633878868</v>
      </c>
    </row>
    <row r="10" spans="1:18" s="202" customFormat="1" ht="15" x14ac:dyDescent="0.3">
      <c r="A10" s="202" t="s">
        <v>342</v>
      </c>
      <c r="B10" s="204">
        <f>-1678212.06</f>
        <v>-1678212.06</v>
      </c>
      <c r="C10" s="204">
        <f>647161.53</f>
        <v>647161.53</v>
      </c>
      <c r="D10" s="204">
        <f>746399</f>
        <v>746399</v>
      </c>
      <c r="E10" s="204">
        <v>-145995.47</v>
      </c>
      <c r="F10" s="204">
        <v>8462</v>
      </c>
      <c r="G10" s="204">
        <v>621427271.10000002</v>
      </c>
      <c r="H10" s="204">
        <f>1966099.07-2081526.23</f>
        <v>-115427.15999999992</v>
      </c>
      <c r="I10" s="204">
        <v>-125193</v>
      </c>
    </row>
    <row r="11" spans="1:18" s="202" customFormat="1" ht="15" x14ac:dyDescent="0.3">
      <c r="A11" s="205" t="s">
        <v>343</v>
      </c>
      <c r="B11" s="203">
        <f>12838121598.02</f>
        <v>12838121598.02</v>
      </c>
      <c r="C11" s="203">
        <v>13270350501.809999</v>
      </c>
      <c r="D11" s="203">
        <v>14214358527.1</v>
      </c>
      <c r="E11" s="203">
        <v>12643008322.629999</v>
      </c>
      <c r="F11" s="203">
        <f>SUM(F7:F10)</f>
        <v>13303105673.869999</v>
      </c>
      <c r="G11" s="203">
        <f>SUM(G7:G10)</f>
        <v>13744373932.01</v>
      </c>
      <c r="H11" s="203">
        <f>SUM(H7:H10)</f>
        <v>13771114174.34</v>
      </c>
      <c r="I11" s="203">
        <f>SUM(I7:I10)</f>
        <v>14170606492</v>
      </c>
    </row>
    <row r="12" spans="1:18" s="202" customFormat="1" ht="15" x14ac:dyDescent="0.3">
      <c r="B12" s="206"/>
      <c r="C12" s="206"/>
      <c r="D12" s="206"/>
      <c r="E12" s="206"/>
      <c r="F12" s="206"/>
      <c r="G12" s="206"/>
      <c r="H12" s="206"/>
      <c r="I12" s="206"/>
      <c r="K12" s="207"/>
      <c r="O12" s="208"/>
      <c r="R12" s="208"/>
    </row>
    <row r="13" spans="1:18" s="202" customFormat="1" ht="15" x14ac:dyDescent="0.3">
      <c r="A13" s="202" t="s">
        <v>339</v>
      </c>
      <c r="B13" s="209">
        <f>B7/$B$11</f>
        <v>0.63191451166432255</v>
      </c>
      <c r="C13" s="209">
        <f>C7/$C$11</f>
        <v>0.57723730576710852</v>
      </c>
      <c r="D13" s="209">
        <f>D7/$D$11</f>
        <v>0.54918100093839595</v>
      </c>
      <c r="E13" s="209">
        <f>E7/$E$11</f>
        <v>0.61058794562069496</v>
      </c>
      <c r="F13" s="209">
        <f>F7/$F$11</f>
        <v>0.63389086629324232</v>
      </c>
      <c r="G13" s="209">
        <f>G7/$G$11</f>
        <v>0.63675058931695783</v>
      </c>
      <c r="H13" s="209">
        <f>H7/$H$11</f>
        <v>0.65755075016898434</v>
      </c>
      <c r="I13" s="209">
        <f>I7/$I$11</f>
        <v>0.63665569007884348</v>
      </c>
      <c r="O13" s="208"/>
      <c r="R13" s="208"/>
    </row>
    <row r="14" spans="1:18" s="202" customFormat="1" ht="17.25" x14ac:dyDescent="0.3">
      <c r="A14" s="202" t="s">
        <v>340</v>
      </c>
      <c r="B14" s="209">
        <f>B8/$B$11</f>
        <v>0.18059557136517379</v>
      </c>
      <c r="C14" s="209">
        <f>C8/$C$11</f>
        <v>0.18580438495604876</v>
      </c>
      <c r="D14" s="209">
        <f>D8/$D$11</f>
        <v>0.21295093077390931</v>
      </c>
      <c r="E14" s="209">
        <f>E8/$E$11</f>
        <v>0.27823237531716261</v>
      </c>
      <c r="F14" s="209">
        <f>F8/$F$11</f>
        <v>0.25586389962726702</v>
      </c>
      <c r="G14" s="209">
        <f>G8/$G$11</f>
        <v>0.25884696397296852</v>
      </c>
      <c r="H14" s="209">
        <f>H8/$H$11</f>
        <v>0.25363109833321795</v>
      </c>
      <c r="I14" s="209">
        <f>I8/$I$11</f>
        <v>0.24805258433959201</v>
      </c>
    </row>
    <row r="15" spans="1:18" s="202" customFormat="1" ht="17.25" x14ac:dyDescent="0.3">
      <c r="A15" s="202" t="s">
        <v>341</v>
      </c>
      <c r="B15" s="209">
        <f>B9/$B$11</f>
        <v>0.18762063796790093</v>
      </c>
      <c r="C15" s="209">
        <f>C9/$C$11</f>
        <v>0.2369095417985525</v>
      </c>
      <c r="D15" s="209">
        <f>D9/$D$11</f>
        <v>0.23781555807426677</v>
      </c>
      <c r="E15" s="209">
        <f>E9/$E$11</f>
        <v>0.11119122658835402</v>
      </c>
      <c r="F15" s="209">
        <f>F9/$F$11</f>
        <v>0.1102445979874227</v>
      </c>
      <c r="G15" s="209">
        <f>G9/$G$11</f>
        <v>5.9189236259452493E-2</v>
      </c>
      <c r="H15" s="209">
        <f>H9/$H$11</f>
        <v>8.8826533329401158E-2</v>
      </c>
      <c r="I15" s="209">
        <f>I9/$I$11</f>
        <v>0.11530056027752972</v>
      </c>
    </row>
    <row r="16" spans="1:18" s="202" customFormat="1" ht="15" x14ac:dyDescent="0.3">
      <c r="A16" s="202" t="s">
        <v>342</v>
      </c>
      <c r="B16" s="210">
        <f>B10/$B$11</f>
        <v>-1.3072099739722262E-4</v>
      </c>
      <c r="C16" s="210">
        <f>C10/$C$11</f>
        <v>4.8767478290172586E-5</v>
      </c>
      <c r="D16" s="210">
        <f>D10/$D$11</f>
        <v>5.2510213427990664E-5</v>
      </c>
      <c r="E16" s="211">
        <f>E10/$E$11</f>
        <v>-1.1547526211675389E-5</v>
      </c>
      <c r="F16" s="212">
        <f>F10/$F$11</f>
        <v>6.3609206808159739E-7</v>
      </c>
      <c r="G16" s="212">
        <f>G10/$G$11</f>
        <v>4.521321045062119E-2</v>
      </c>
      <c r="H16" s="212">
        <f>H10/$H$11</f>
        <v>-8.3818316033627625E-6</v>
      </c>
      <c r="I16" s="212">
        <f>I10/$I$11</f>
        <v>-8.8346959652487397E-6</v>
      </c>
    </row>
    <row r="17" spans="1:9" s="202" customFormat="1" ht="17.25" x14ac:dyDescent="0.3">
      <c r="A17" s="213" t="s">
        <v>344</v>
      </c>
      <c r="B17" s="209">
        <f t="shared" ref="B17:I17" si="0">SUM(B13:B16)</f>
        <v>1</v>
      </c>
      <c r="C17" s="209">
        <f t="shared" si="0"/>
        <v>1</v>
      </c>
      <c r="D17" s="209">
        <f t="shared" si="0"/>
        <v>1</v>
      </c>
      <c r="E17" s="209">
        <f t="shared" si="0"/>
        <v>1</v>
      </c>
      <c r="F17" s="209">
        <f t="shared" si="0"/>
        <v>1.0000000000000002</v>
      </c>
      <c r="G17" s="209">
        <f t="shared" si="0"/>
        <v>1</v>
      </c>
      <c r="H17" s="209">
        <f t="shared" si="0"/>
        <v>1</v>
      </c>
      <c r="I17" s="209">
        <f t="shared" si="0"/>
        <v>1</v>
      </c>
    </row>
    <row r="18" spans="1:9" s="202" customFormat="1" ht="15" x14ac:dyDescent="0.3">
      <c r="D18" s="206"/>
      <c r="E18" s="206"/>
      <c r="F18" s="206"/>
      <c r="G18" s="206"/>
      <c r="H18" s="206"/>
      <c r="I18" s="206"/>
    </row>
    <row r="20" spans="1:9" s="215" customFormat="1" ht="13.5" x14ac:dyDescent="0.3">
      <c r="A20" s="214" t="s">
        <v>345</v>
      </c>
      <c r="B20" s="215" t="s">
        <v>346</v>
      </c>
      <c r="D20" s="216"/>
      <c r="E20" s="216"/>
      <c r="F20" s="216"/>
      <c r="G20" s="216"/>
      <c r="H20" s="216"/>
      <c r="I20" s="216"/>
    </row>
    <row r="21" spans="1:9" s="215" customFormat="1" ht="13.5" x14ac:dyDescent="0.3">
      <c r="B21" s="215" t="s">
        <v>347</v>
      </c>
      <c r="D21" s="216"/>
      <c r="E21" s="216"/>
      <c r="F21" s="216"/>
      <c r="G21" s="217"/>
      <c r="H21" s="217"/>
      <c r="I21" s="216"/>
    </row>
    <row r="22" spans="1:9" s="215" customFormat="1" ht="13.5" x14ac:dyDescent="0.3">
      <c r="B22" s="215" t="s">
        <v>348</v>
      </c>
      <c r="D22" s="216"/>
      <c r="E22" s="216"/>
      <c r="F22" s="216"/>
      <c r="G22" s="216"/>
      <c r="H22" s="216"/>
      <c r="I22" s="216"/>
    </row>
    <row r="23" spans="1:9" s="215" customFormat="1" ht="13.5" x14ac:dyDescent="0.3">
      <c r="B23" s="215" t="s">
        <v>349</v>
      </c>
      <c r="D23" s="216"/>
      <c r="E23" s="216"/>
      <c r="F23" s="216"/>
      <c r="G23" s="216"/>
      <c r="H23" s="216"/>
      <c r="I23" s="216"/>
    </row>
    <row r="24" spans="1:9" s="215" customFormat="1" ht="13.5" x14ac:dyDescent="0.3">
      <c r="B24" s="215" t="s">
        <v>350</v>
      </c>
      <c r="D24" s="216"/>
      <c r="E24" s="216"/>
      <c r="F24" s="216"/>
      <c r="G24" s="216"/>
      <c r="H24" s="216"/>
      <c r="I24" s="216"/>
    </row>
    <row r="25" spans="1:9" s="215" customFormat="1" ht="13.5" x14ac:dyDescent="0.3">
      <c r="B25" s="215" t="s">
        <v>351</v>
      </c>
      <c r="D25" s="216"/>
      <c r="E25" s="216"/>
      <c r="F25" s="216"/>
      <c r="G25" s="216"/>
      <c r="H25" s="216"/>
      <c r="I25" s="216"/>
    </row>
  </sheetData>
  <mergeCells count="4">
    <mergeCell ref="A1:I1"/>
    <mergeCell ref="A2:B2"/>
    <mergeCell ref="A3:I3"/>
    <mergeCell ref="A4: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workbookViewId="0">
      <selection sqref="A1:J1"/>
    </sheetView>
  </sheetViews>
  <sheetFormatPr defaultRowHeight="16.5" x14ac:dyDescent="0.3"/>
  <cols>
    <col min="1" max="1" width="13.140625" style="236" customWidth="1"/>
    <col min="2" max="2" width="18.28515625" style="237" customWidth="1"/>
    <col min="3" max="3" width="9" style="237" customWidth="1"/>
    <col min="4" max="4" width="13.28515625" style="237" customWidth="1"/>
    <col min="5" max="5" width="5.42578125" style="237" customWidth="1"/>
    <col min="6" max="6" width="17.5703125" style="237" bestFit="1" customWidth="1"/>
    <col min="7" max="7" width="9.28515625" style="237" bestFit="1" customWidth="1"/>
    <col min="8" max="8" width="5.7109375" style="237" customWidth="1"/>
    <col min="9" max="9" width="15.5703125" style="237" customWidth="1"/>
    <col min="10" max="10" width="9.28515625" style="237" bestFit="1" customWidth="1"/>
    <col min="11" max="11" width="9.140625" style="236"/>
    <col min="12" max="12" width="23.7109375" style="236" customWidth="1"/>
    <col min="13" max="256" width="9.140625" style="236"/>
    <col min="257" max="257" width="13.140625" style="236" customWidth="1"/>
    <col min="258" max="258" width="18.28515625" style="236" customWidth="1"/>
    <col min="259" max="259" width="14.28515625" style="236" customWidth="1"/>
    <col min="260" max="260" width="12.85546875" style="236" customWidth="1"/>
    <col min="261" max="261" width="3.5703125" style="236" customWidth="1"/>
    <col min="262" max="262" width="16.5703125" style="236" bestFit="1" customWidth="1"/>
    <col min="263" max="263" width="9.140625" style="236"/>
    <col min="264" max="264" width="3.5703125" style="236" customWidth="1"/>
    <col min="265" max="265" width="15.42578125" style="236" customWidth="1"/>
    <col min="266" max="267" width="9.140625" style="236"/>
    <col min="268" max="268" width="23.7109375" style="236" customWidth="1"/>
    <col min="269" max="512" width="9.140625" style="236"/>
    <col min="513" max="513" width="13.140625" style="236" customWidth="1"/>
    <col min="514" max="514" width="18.28515625" style="236" customWidth="1"/>
    <col min="515" max="515" width="14.28515625" style="236" customWidth="1"/>
    <col min="516" max="516" width="12.85546875" style="236" customWidth="1"/>
    <col min="517" max="517" width="3.5703125" style="236" customWidth="1"/>
    <col min="518" max="518" width="16.5703125" style="236" bestFit="1" customWidth="1"/>
    <col min="519" max="519" width="9.140625" style="236"/>
    <col min="520" max="520" width="3.5703125" style="236" customWidth="1"/>
    <col min="521" max="521" width="15.42578125" style="236" customWidth="1"/>
    <col min="522" max="523" width="9.140625" style="236"/>
    <col min="524" max="524" width="23.7109375" style="236" customWidth="1"/>
    <col min="525" max="768" width="9.140625" style="236"/>
    <col min="769" max="769" width="13.140625" style="236" customWidth="1"/>
    <col min="770" max="770" width="18.28515625" style="236" customWidth="1"/>
    <col min="771" max="771" width="14.28515625" style="236" customWidth="1"/>
    <col min="772" max="772" width="12.85546875" style="236" customWidth="1"/>
    <col min="773" max="773" width="3.5703125" style="236" customWidth="1"/>
    <col min="774" max="774" width="16.5703125" style="236" bestFit="1" customWidth="1"/>
    <col min="775" max="775" width="9.140625" style="236"/>
    <col min="776" max="776" width="3.5703125" style="236" customWidth="1"/>
    <col min="777" max="777" width="15.42578125" style="236" customWidth="1"/>
    <col min="778" max="779" width="9.140625" style="236"/>
    <col min="780" max="780" width="23.7109375" style="236" customWidth="1"/>
    <col min="781" max="1024" width="9.140625" style="236"/>
    <col min="1025" max="1025" width="13.140625" style="236" customWidth="1"/>
    <col min="1026" max="1026" width="18.28515625" style="236" customWidth="1"/>
    <col min="1027" max="1027" width="14.28515625" style="236" customWidth="1"/>
    <col min="1028" max="1028" width="12.85546875" style="236" customWidth="1"/>
    <col min="1029" max="1029" width="3.5703125" style="236" customWidth="1"/>
    <col min="1030" max="1030" width="16.5703125" style="236" bestFit="1" customWidth="1"/>
    <col min="1031" max="1031" width="9.140625" style="236"/>
    <col min="1032" max="1032" width="3.5703125" style="236" customWidth="1"/>
    <col min="1033" max="1033" width="15.42578125" style="236" customWidth="1"/>
    <col min="1034" max="1035" width="9.140625" style="236"/>
    <col min="1036" max="1036" width="23.7109375" style="236" customWidth="1"/>
    <col min="1037" max="1280" width="9.140625" style="236"/>
    <col min="1281" max="1281" width="13.140625" style="236" customWidth="1"/>
    <col min="1282" max="1282" width="18.28515625" style="236" customWidth="1"/>
    <col min="1283" max="1283" width="14.28515625" style="236" customWidth="1"/>
    <col min="1284" max="1284" width="12.85546875" style="236" customWidth="1"/>
    <col min="1285" max="1285" width="3.5703125" style="236" customWidth="1"/>
    <col min="1286" max="1286" width="16.5703125" style="236" bestFit="1" customWidth="1"/>
    <col min="1287" max="1287" width="9.140625" style="236"/>
    <col min="1288" max="1288" width="3.5703125" style="236" customWidth="1"/>
    <col min="1289" max="1289" width="15.42578125" style="236" customWidth="1"/>
    <col min="1290" max="1291" width="9.140625" style="236"/>
    <col min="1292" max="1292" width="23.7109375" style="236" customWidth="1"/>
    <col min="1293" max="1536" width="9.140625" style="236"/>
    <col min="1537" max="1537" width="13.140625" style="236" customWidth="1"/>
    <col min="1538" max="1538" width="18.28515625" style="236" customWidth="1"/>
    <col min="1539" max="1539" width="14.28515625" style="236" customWidth="1"/>
    <col min="1540" max="1540" width="12.85546875" style="236" customWidth="1"/>
    <col min="1541" max="1541" width="3.5703125" style="236" customWidth="1"/>
    <col min="1542" max="1542" width="16.5703125" style="236" bestFit="1" customWidth="1"/>
    <col min="1543" max="1543" width="9.140625" style="236"/>
    <col min="1544" max="1544" width="3.5703125" style="236" customWidth="1"/>
    <col min="1545" max="1545" width="15.42578125" style="236" customWidth="1"/>
    <col min="1546" max="1547" width="9.140625" style="236"/>
    <col min="1548" max="1548" width="23.7109375" style="236" customWidth="1"/>
    <col min="1549" max="1792" width="9.140625" style="236"/>
    <col min="1793" max="1793" width="13.140625" style="236" customWidth="1"/>
    <col min="1794" max="1794" width="18.28515625" style="236" customWidth="1"/>
    <col min="1795" max="1795" width="14.28515625" style="236" customWidth="1"/>
    <col min="1796" max="1796" width="12.85546875" style="236" customWidth="1"/>
    <col min="1797" max="1797" width="3.5703125" style="236" customWidth="1"/>
    <col min="1798" max="1798" width="16.5703125" style="236" bestFit="1" customWidth="1"/>
    <col min="1799" max="1799" width="9.140625" style="236"/>
    <col min="1800" max="1800" width="3.5703125" style="236" customWidth="1"/>
    <col min="1801" max="1801" width="15.42578125" style="236" customWidth="1"/>
    <col min="1802" max="1803" width="9.140625" style="236"/>
    <col min="1804" max="1804" width="23.7109375" style="236" customWidth="1"/>
    <col min="1805" max="2048" width="9.140625" style="236"/>
    <col min="2049" max="2049" width="13.140625" style="236" customWidth="1"/>
    <col min="2050" max="2050" width="18.28515625" style="236" customWidth="1"/>
    <col min="2051" max="2051" width="14.28515625" style="236" customWidth="1"/>
    <col min="2052" max="2052" width="12.85546875" style="236" customWidth="1"/>
    <col min="2053" max="2053" width="3.5703125" style="236" customWidth="1"/>
    <col min="2054" max="2054" width="16.5703125" style="236" bestFit="1" customWidth="1"/>
    <col min="2055" max="2055" width="9.140625" style="236"/>
    <col min="2056" max="2056" width="3.5703125" style="236" customWidth="1"/>
    <col min="2057" max="2057" width="15.42578125" style="236" customWidth="1"/>
    <col min="2058" max="2059" width="9.140625" style="236"/>
    <col min="2060" max="2060" width="23.7109375" style="236" customWidth="1"/>
    <col min="2061" max="2304" width="9.140625" style="236"/>
    <col min="2305" max="2305" width="13.140625" style="236" customWidth="1"/>
    <col min="2306" max="2306" width="18.28515625" style="236" customWidth="1"/>
    <col min="2307" max="2307" width="14.28515625" style="236" customWidth="1"/>
    <col min="2308" max="2308" width="12.85546875" style="236" customWidth="1"/>
    <col min="2309" max="2309" width="3.5703125" style="236" customWidth="1"/>
    <col min="2310" max="2310" width="16.5703125" style="236" bestFit="1" customWidth="1"/>
    <col min="2311" max="2311" width="9.140625" style="236"/>
    <col min="2312" max="2312" width="3.5703125" style="236" customWidth="1"/>
    <col min="2313" max="2313" width="15.42578125" style="236" customWidth="1"/>
    <col min="2314" max="2315" width="9.140625" style="236"/>
    <col min="2316" max="2316" width="23.7109375" style="236" customWidth="1"/>
    <col min="2317" max="2560" width="9.140625" style="236"/>
    <col min="2561" max="2561" width="13.140625" style="236" customWidth="1"/>
    <col min="2562" max="2562" width="18.28515625" style="236" customWidth="1"/>
    <col min="2563" max="2563" width="14.28515625" style="236" customWidth="1"/>
    <col min="2564" max="2564" width="12.85546875" style="236" customWidth="1"/>
    <col min="2565" max="2565" width="3.5703125" style="236" customWidth="1"/>
    <col min="2566" max="2566" width="16.5703125" style="236" bestFit="1" customWidth="1"/>
    <col min="2567" max="2567" width="9.140625" style="236"/>
    <col min="2568" max="2568" width="3.5703125" style="236" customWidth="1"/>
    <col min="2569" max="2569" width="15.42578125" style="236" customWidth="1"/>
    <col min="2570" max="2571" width="9.140625" style="236"/>
    <col min="2572" max="2572" width="23.7109375" style="236" customWidth="1"/>
    <col min="2573" max="2816" width="9.140625" style="236"/>
    <col min="2817" max="2817" width="13.140625" style="236" customWidth="1"/>
    <col min="2818" max="2818" width="18.28515625" style="236" customWidth="1"/>
    <col min="2819" max="2819" width="14.28515625" style="236" customWidth="1"/>
    <col min="2820" max="2820" width="12.85546875" style="236" customWidth="1"/>
    <col min="2821" max="2821" width="3.5703125" style="236" customWidth="1"/>
    <col min="2822" max="2822" width="16.5703125" style="236" bestFit="1" customWidth="1"/>
    <col min="2823" max="2823" width="9.140625" style="236"/>
    <col min="2824" max="2824" width="3.5703125" style="236" customWidth="1"/>
    <col min="2825" max="2825" width="15.42578125" style="236" customWidth="1"/>
    <col min="2826" max="2827" width="9.140625" style="236"/>
    <col min="2828" max="2828" width="23.7109375" style="236" customWidth="1"/>
    <col min="2829" max="3072" width="9.140625" style="236"/>
    <col min="3073" max="3073" width="13.140625" style="236" customWidth="1"/>
    <col min="3074" max="3074" width="18.28515625" style="236" customWidth="1"/>
    <col min="3075" max="3075" width="14.28515625" style="236" customWidth="1"/>
    <col min="3076" max="3076" width="12.85546875" style="236" customWidth="1"/>
    <col min="3077" max="3077" width="3.5703125" style="236" customWidth="1"/>
    <col min="3078" max="3078" width="16.5703125" style="236" bestFit="1" customWidth="1"/>
    <col min="3079" max="3079" width="9.140625" style="236"/>
    <col min="3080" max="3080" width="3.5703125" style="236" customWidth="1"/>
    <col min="3081" max="3081" width="15.42578125" style="236" customWidth="1"/>
    <col min="3082" max="3083" width="9.140625" style="236"/>
    <col min="3084" max="3084" width="23.7109375" style="236" customWidth="1"/>
    <col min="3085" max="3328" width="9.140625" style="236"/>
    <col min="3329" max="3329" width="13.140625" style="236" customWidth="1"/>
    <col min="3330" max="3330" width="18.28515625" style="236" customWidth="1"/>
    <col min="3331" max="3331" width="14.28515625" style="236" customWidth="1"/>
    <col min="3332" max="3332" width="12.85546875" style="236" customWidth="1"/>
    <col min="3333" max="3333" width="3.5703125" style="236" customWidth="1"/>
    <col min="3334" max="3334" width="16.5703125" style="236" bestFit="1" customWidth="1"/>
    <col min="3335" max="3335" width="9.140625" style="236"/>
    <col min="3336" max="3336" width="3.5703125" style="236" customWidth="1"/>
    <col min="3337" max="3337" width="15.42578125" style="236" customWidth="1"/>
    <col min="3338" max="3339" width="9.140625" style="236"/>
    <col min="3340" max="3340" width="23.7109375" style="236" customWidth="1"/>
    <col min="3341" max="3584" width="9.140625" style="236"/>
    <col min="3585" max="3585" width="13.140625" style="236" customWidth="1"/>
    <col min="3586" max="3586" width="18.28515625" style="236" customWidth="1"/>
    <col min="3587" max="3587" width="14.28515625" style="236" customWidth="1"/>
    <col min="3588" max="3588" width="12.85546875" style="236" customWidth="1"/>
    <col min="3589" max="3589" width="3.5703125" style="236" customWidth="1"/>
    <col min="3590" max="3590" width="16.5703125" style="236" bestFit="1" customWidth="1"/>
    <col min="3591" max="3591" width="9.140625" style="236"/>
    <col min="3592" max="3592" width="3.5703125" style="236" customWidth="1"/>
    <col min="3593" max="3593" width="15.42578125" style="236" customWidth="1"/>
    <col min="3594" max="3595" width="9.140625" style="236"/>
    <col min="3596" max="3596" width="23.7109375" style="236" customWidth="1"/>
    <col min="3597" max="3840" width="9.140625" style="236"/>
    <col min="3841" max="3841" width="13.140625" style="236" customWidth="1"/>
    <col min="3842" max="3842" width="18.28515625" style="236" customWidth="1"/>
    <col min="3843" max="3843" width="14.28515625" style="236" customWidth="1"/>
    <col min="3844" max="3844" width="12.85546875" style="236" customWidth="1"/>
    <col min="3845" max="3845" width="3.5703125" style="236" customWidth="1"/>
    <col min="3846" max="3846" width="16.5703125" style="236" bestFit="1" customWidth="1"/>
    <col min="3847" max="3847" width="9.140625" style="236"/>
    <col min="3848" max="3848" width="3.5703125" style="236" customWidth="1"/>
    <col min="3849" max="3849" width="15.42578125" style="236" customWidth="1"/>
    <col min="3850" max="3851" width="9.140625" style="236"/>
    <col min="3852" max="3852" width="23.7109375" style="236" customWidth="1"/>
    <col min="3853" max="4096" width="9.140625" style="236"/>
    <col min="4097" max="4097" width="13.140625" style="236" customWidth="1"/>
    <col min="4098" max="4098" width="18.28515625" style="236" customWidth="1"/>
    <col min="4099" max="4099" width="14.28515625" style="236" customWidth="1"/>
    <col min="4100" max="4100" width="12.85546875" style="236" customWidth="1"/>
    <col min="4101" max="4101" width="3.5703125" style="236" customWidth="1"/>
    <col min="4102" max="4102" width="16.5703125" style="236" bestFit="1" customWidth="1"/>
    <col min="4103" max="4103" width="9.140625" style="236"/>
    <col min="4104" max="4104" width="3.5703125" style="236" customWidth="1"/>
    <col min="4105" max="4105" width="15.42578125" style="236" customWidth="1"/>
    <col min="4106" max="4107" width="9.140625" style="236"/>
    <col min="4108" max="4108" width="23.7109375" style="236" customWidth="1"/>
    <col min="4109" max="4352" width="9.140625" style="236"/>
    <col min="4353" max="4353" width="13.140625" style="236" customWidth="1"/>
    <col min="4354" max="4354" width="18.28515625" style="236" customWidth="1"/>
    <col min="4355" max="4355" width="14.28515625" style="236" customWidth="1"/>
    <col min="4356" max="4356" width="12.85546875" style="236" customWidth="1"/>
    <col min="4357" max="4357" width="3.5703125" style="236" customWidth="1"/>
    <col min="4358" max="4358" width="16.5703125" style="236" bestFit="1" customWidth="1"/>
    <col min="4359" max="4359" width="9.140625" style="236"/>
    <col min="4360" max="4360" width="3.5703125" style="236" customWidth="1"/>
    <col min="4361" max="4361" width="15.42578125" style="236" customWidth="1"/>
    <col min="4362" max="4363" width="9.140625" style="236"/>
    <col min="4364" max="4364" width="23.7109375" style="236" customWidth="1"/>
    <col min="4365" max="4608" width="9.140625" style="236"/>
    <col min="4609" max="4609" width="13.140625" style="236" customWidth="1"/>
    <col min="4610" max="4610" width="18.28515625" style="236" customWidth="1"/>
    <col min="4611" max="4611" width="14.28515625" style="236" customWidth="1"/>
    <col min="4612" max="4612" width="12.85546875" style="236" customWidth="1"/>
    <col min="4613" max="4613" width="3.5703125" style="236" customWidth="1"/>
    <col min="4614" max="4614" width="16.5703125" style="236" bestFit="1" customWidth="1"/>
    <col min="4615" max="4615" width="9.140625" style="236"/>
    <col min="4616" max="4616" width="3.5703125" style="236" customWidth="1"/>
    <col min="4617" max="4617" width="15.42578125" style="236" customWidth="1"/>
    <col min="4618" max="4619" width="9.140625" style="236"/>
    <col min="4620" max="4620" width="23.7109375" style="236" customWidth="1"/>
    <col min="4621" max="4864" width="9.140625" style="236"/>
    <col min="4865" max="4865" width="13.140625" style="236" customWidth="1"/>
    <col min="4866" max="4866" width="18.28515625" style="236" customWidth="1"/>
    <col min="4867" max="4867" width="14.28515625" style="236" customWidth="1"/>
    <col min="4868" max="4868" width="12.85546875" style="236" customWidth="1"/>
    <col min="4869" max="4869" width="3.5703125" style="236" customWidth="1"/>
    <col min="4870" max="4870" width="16.5703125" style="236" bestFit="1" customWidth="1"/>
    <col min="4871" max="4871" width="9.140625" style="236"/>
    <col min="4872" max="4872" width="3.5703125" style="236" customWidth="1"/>
    <col min="4873" max="4873" width="15.42578125" style="236" customWidth="1"/>
    <col min="4874" max="4875" width="9.140625" style="236"/>
    <col min="4876" max="4876" width="23.7109375" style="236" customWidth="1"/>
    <col min="4877" max="5120" width="9.140625" style="236"/>
    <col min="5121" max="5121" width="13.140625" style="236" customWidth="1"/>
    <col min="5122" max="5122" width="18.28515625" style="236" customWidth="1"/>
    <col min="5123" max="5123" width="14.28515625" style="236" customWidth="1"/>
    <col min="5124" max="5124" width="12.85546875" style="236" customWidth="1"/>
    <col min="5125" max="5125" width="3.5703125" style="236" customWidth="1"/>
    <col min="5126" max="5126" width="16.5703125" style="236" bestFit="1" customWidth="1"/>
    <col min="5127" max="5127" width="9.140625" style="236"/>
    <col min="5128" max="5128" width="3.5703125" style="236" customWidth="1"/>
    <col min="5129" max="5129" width="15.42578125" style="236" customWidth="1"/>
    <col min="5130" max="5131" width="9.140625" style="236"/>
    <col min="5132" max="5132" width="23.7109375" style="236" customWidth="1"/>
    <col min="5133" max="5376" width="9.140625" style="236"/>
    <col min="5377" max="5377" width="13.140625" style="236" customWidth="1"/>
    <col min="5378" max="5378" width="18.28515625" style="236" customWidth="1"/>
    <col min="5379" max="5379" width="14.28515625" style="236" customWidth="1"/>
    <col min="5380" max="5380" width="12.85546875" style="236" customWidth="1"/>
    <col min="5381" max="5381" width="3.5703125" style="236" customWidth="1"/>
    <col min="5382" max="5382" width="16.5703125" style="236" bestFit="1" customWidth="1"/>
    <col min="5383" max="5383" width="9.140625" style="236"/>
    <col min="5384" max="5384" width="3.5703125" style="236" customWidth="1"/>
    <col min="5385" max="5385" width="15.42578125" style="236" customWidth="1"/>
    <col min="5386" max="5387" width="9.140625" style="236"/>
    <col min="5388" max="5388" width="23.7109375" style="236" customWidth="1"/>
    <col min="5389" max="5632" width="9.140625" style="236"/>
    <col min="5633" max="5633" width="13.140625" style="236" customWidth="1"/>
    <col min="5634" max="5634" width="18.28515625" style="236" customWidth="1"/>
    <col min="5635" max="5635" width="14.28515625" style="236" customWidth="1"/>
    <col min="5636" max="5636" width="12.85546875" style="236" customWidth="1"/>
    <col min="5637" max="5637" width="3.5703125" style="236" customWidth="1"/>
    <col min="5638" max="5638" width="16.5703125" style="236" bestFit="1" customWidth="1"/>
    <col min="5639" max="5639" width="9.140625" style="236"/>
    <col min="5640" max="5640" width="3.5703125" style="236" customWidth="1"/>
    <col min="5641" max="5641" width="15.42578125" style="236" customWidth="1"/>
    <col min="5642" max="5643" width="9.140625" style="236"/>
    <col min="5644" max="5644" width="23.7109375" style="236" customWidth="1"/>
    <col min="5645" max="5888" width="9.140625" style="236"/>
    <col min="5889" max="5889" width="13.140625" style="236" customWidth="1"/>
    <col min="5890" max="5890" width="18.28515625" style="236" customWidth="1"/>
    <col min="5891" max="5891" width="14.28515625" style="236" customWidth="1"/>
    <col min="5892" max="5892" width="12.85546875" style="236" customWidth="1"/>
    <col min="5893" max="5893" width="3.5703125" style="236" customWidth="1"/>
    <col min="5894" max="5894" width="16.5703125" style="236" bestFit="1" customWidth="1"/>
    <col min="5895" max="5895" width="9.140625" style="236"/>
    <col min="5896" max="5896" width="3.5703125" style="236" customWidth="1"/>
    <col min="5897" max="5897" width="15.42578125" style="236" customWidth="1"/>
    <col min="5898" max="5899" width="9.140625" style="236"/>
    <col min="5900" max="5900" width="23.7109375" style="236" customWidth="1"/>
    <col min="5901" max="6144" width="9.140625" style="236"/>
    <col min="6145" max="6145" width="13.140625" style="236" customWidth="1"/>
    <col min="6146" max="6146" width="18.28515625" style="236" customWidth="1"/>
    <col min="6147" max="6147" width="14.28515625" style="236" customWidth="1"/>
    <col min="6148" max="6148" width="12.85546875" style="236" customWidth="1"/>
    <col min="6149" max="6149" width="3.5703125" style="236" customWidth="1"/>
    <col min="6150" max="6150" width="16.5703125" style="236" bestFit="1" customWidth="1"/>
    <col min="6151" max="6151" width="9.140625" style="236"/>
    <col min="6152" max="6152" width="3.5703125" style="236" customWidth="1"/>
    <col min="6153" max="6153" width="15.42578125" style="236" customWidth="1"/>
    <col min="6154" max="6155" width="9.140625" style="236"/>
    <col min="6156" max="6156" width="23.7109375" style="236" customWidth="1"/>
    <col min="6157" max="6400" width="9.140625" style="236"/>
    <col min="6401" max="6401" width="13.140625" style="236" customWidth="1"/>
    <col min="6402" max="6402" width="18.28515625" style="236" customWidth="1"/>
    <col min="6403" max="6403" width="14.28515625" style="236" customWidth="1"/>
    <col min="6404" max="6404" width="12.85546875" style="236" customWidth="1"/>
    <col min="6405" max="6405" width="3.5703125" style="236" customWidth="1"/>
    <col min="6406" max="6406" width="16.5703125" style="236" bestFit="1" customWidth="1"/>
    <col min="6407" max="6407" width="9.140625" style="236"/>
    <col min="6408" max="6408" width="3.5703125" style="236" customWidth="1"/>
    <col min="6409" max="6409" width="15.42578125" style="236" customWidth="1"/>
    <col min="6410" max="6411" width="9.140625" style="236"/>
    <col min="6412" max="6412" width="23.7109375" style="236" customWidth="1"/>
    <col min="6413" max="6656" width="9.140625" style="236"/>
    <col min="6657" max="6657" width="13.140625" style="236" customWidth="1"/>
    <col min="6658" max="6658" width="18.28515625" style="236" customWidth="1"/>
    <col min="6659" max="6659" width="14.28515625" style="236" customWidth="1"/>
    <col min="6660" max="6660" width="12.85546875" style="236" customWidth="1"/>
    <col min="6661" max="6661" width="3.5703125" style="236" customWidth="1"/>
    <col min="6662" max="6662" width="16.5703125" style="236" bestFit="1" customWidth="1"/>
    <col min="6663" max="6663" width="9.140625" style="236"/>
    <col min="6664" max="6664" width="3.5703125" style="236" customWidth="1"/>
    <col min="6665" max="6665" width="15.42578125" style="236" customWidth="1"/>
    <col min="6666" max="6667" width="9.140625" style="236"/>
    <col min="6668" max="6668" width="23.7109375" style="236" customWidth="1"/>
    <col min="6669" max="6912" width="9.140625" style="236"/>
    <col min="6913" max="6913" width="13.140625" style="236" customWidth="1"/>
    <col min="6914" max="6914" width="18.28515625" style="236" customWidth="1"/>
    <col min="6915" max="6915" width="14.28515625" style="236" customWidth="1"/>
    <col min="6916" max="6916" width="12.85546875" style="236" customWidth="1"/>
    <col min="6917" max="6917" width="3.5703125" style="236" customWidth="1"/>
    <col min="6918" max="6918" width="16.5703125" style="236" bestFit="1" customWidth="1"/>
    <col min="6919" max="6919" width="9.140625" style="236"/>
    <col min="6920" max="6920" width="3.5703125" style="236" customWidth="1"/>
    <col min="6921" max="6921" width="15.42578125" style="236" customWidth="1"/>
    <col min="6922" max="6923" width="9.140625" style="236"/>
    <col min="6924" max="6924" width="23.7109375" style="236" customWidth="1"/>
    <col min="6925" max="7168" width="9.140625" style="236"/>
    <col min="7169" max="7169" width="13.140625" style="236" customWidth="1"/>
    <col min="7170" max="7170" width="18.28515625" style="236" customWidth="1"/>
    <col min="7171" max="7171" width="14.28515625" style="236" customWidth="1"/>
    <col min="7172" max="7172" width="12.85546875" style="236" customWidth="1"/>
    <col min="7173" max="7173" width="3.5703125" style="236" customWidth="1"/>
    <col min="7174" max="7174" width="16.5703125" style="236" bestFit="1" customWidth="1"/>
    <col min="7175" max="7175" width="9.140625" style="236"/>
    <col min="7176" max="7176" width="3.5703125" style="236" customWidth="1"/>
    <col min="7177" max="7177" width="15.42578125" style="236" customWidth="1"/>
    <col min="7178" max="7179" width="9.140625" style="236"/>
    <col min="7180" max="7180" width="23.7109375" style="236" customWidth="1"/>
    <col min="7181" max="7424" width="9.140625" style="236"/>
    <col min="7425" max="7425" width="13.140625" style="236" customWidth="1"/>
    <col min="7426" max="7426" width="18.28515625" style="236" customWidth="1"/>
    <col min="7427" max="7427" width="14.28515625" style="236" customWidth="1"/>
    <col min="7428" max="7428" width="12.85546875" style="236" customWidth="1"/>
    <col min="7429" max="7429" width="3.5703125" style="236" customWidth="1"/>
    <col min="7430" max="7430" width="16.5703125" style="236" bestFit="1" customWidth="1"/>
    <col min="7431" max="7431" width="9.140625" style="236"/>
    <col min="7432" max="7432" width="3.5703125" style="236" customWidth="1"/>
    <col min="7433" max="7433" width="15.42578125" style="236" customWidth="1"/>
    <col min="7434" max="7435" width="9.140625" style="236"/>
    <col min="7436" max="7436" width="23.7109375" style="236" customWidth="1"/>
    <col min="7437" max="7680" width="9.140625" style="236"/>
    <col min="7681" max="7681" width="13.140625" style="236" customWidth="1"/>
    <col min="7682" max="7682" width="18.28515625" style="236" customWidth="1"/>
    <col min="7683" max="7683" width="14.28515625" style="236" customWidth="1"/>
    <col min="7684" max="7684" width="12.85546875" style="236" customWidth="1"/>
    <col min="7685" max="7685" width="3.5703125" style="236" customWidth="1"/>
    <col min="7686" max="7686" width="16.5703125" style="236" bestFit="1" customWidth="1"/>
    <col min="7687" max="7687" width="9.140625" style="236"/>
    <col min="7688" max="7688" width="3.5703125" style="236" customWidth="1"/>
    <col min="7689" max="7689" width="15.42578125" style="236" customWidth="1"/>
    <col min="7690" max="7691" width="9.140625" style="236"/>
    <col min="7692" max="7692" width="23.7109375" style="236" customWidth="1"/>
    <col min="7693" max="7936" width="9.140625" style="236"/>
    <col min="7937" max="7937" width="13.140625" style="236" customWidth="1"/>
    <col min="7938" max="7938" width="18.28515625" style="236" customWidth="1"/>
    <col min="7939" max="7939" width="14.28515625" style="236" customWidth="1"/>
    <col min="7940" max="7940" width="12.85546875" style="236" customWidth="1"/>
    <col min="7941" max="7941" width="3.5703125" style="236" customWidth="1"/>
    <col min="7942" max="7942" width="16.5703125" style="236" bestFit="1" customWidth="1"/>
    <col min="7943" max="7943" width="9.140625" style="236"/>
    <col min="7944" max="7944" width="3.5703125" style="236" customWidth="1"/>
    <col min="7945" max="7945" width="15.42578125" style="236" customWidth="1"/>
    <col min="7946" max="7947" width="9.140625" style="236"/>
    <col min="7948" max="7948" width="23.7109375" style="236" customWidth="1"/>
    <col min="7949" max="8192" width="9.140625" style="236"/>
    <col min="8193" max="8193" width="13.140625" style="236" customWidth="1"/>
    <col min="8194" max="8194" width="18.28515625" style="236" customWidth="1"/>
    <col min="8195" max="8195" width="14.28515625" style="236" customWidth="1"/>
    <col min="8196" max="8196" width="12.85546875" style="236" customWidth="1"/>
    <col min="8197" max="8197" width="3.5703125" style="236" customWidth="1"/>
    <col min="8198" max="8198" width="16.5703125" style="236" bestFit="1" customWidth="1"/>
    <col min="8199" max="8199" width="9.140625" style="236"/>
    <col min="8200" max="8200" width="3.5703125" style="236" customWidth="1"/>
    <col min="8201" max="8201" width="15.42578125" style="236" customWidth="1"/>
    <col min="8202" max="8203" width="9.140625" style="236"/>
    <col min="8204" max="8204" width="23.7109375" style="236" customWidth="1"/>
    <col min="8205" max="8448" width="9.140625" style="236"/>
    <col min="8449" max="8449" width="13.140625" style="236" customWidth="1"/>
    <col min="8450" max="8450" width="18.28515625" style="236" customWidth="1"/>
    <col min="8451" max="8451" width="14.28515625" style="236" customWidth="1"/>
    <col min="8452" max="8452" width="12.85546875" style="236" customWidth="1"/>
    <col min="8453" max="8453" width="3.5703125" style="236" customWidth="1"/>
    <col min="8454" max="8454" width="16.5703125" style="236" bestFit="1" customWidth="1"/>
    <col min="8455" max="8455" width="9.140625" style="236"/>
    <col min="8456" max="8456" width="3.5703125" style="236" customWidth="1"/>
    <col min="8457" max="8457" width="15.42578125" style="236" customWidth="1"/>
    <col min="8458" max="8459" width="9.140625" style="236"/>
    <col min="8460" max="8460" width="23.7109375" style="236" customWidth="1"/>
    <col min="8461" max="8704" width="9.140625" style="236"/>
    <col min="8705" max="8705" width="13.140625" style="236" customWidth="1"/>
    <col min="8706" max="8706" width="18.28515625" style="236" customWidth="1"/>
    <col min="8707" max="8707" width="14.28515625" style="236" customWidth="1"/>
    <col min="8708" max="8708" width="12.85546875" style="236" customWidth="1"/>
    <col min="8709" max="8709" width="3.5703125" style="236" customWidth="1"/>
    <col min="8710" max="8710" width="16.5703125" style="236" bestFit="1" customWidth="1"/>
    <col min="8711" max="8711" width="9.140625" style="236"/>
    <col min="8712" max="8712" width="3.5703125" style="236" customWidth="1"/>
    <col min="8713" max="8713" width="15.42578125" style="236" customWidth="1"/>
    <col min="8714" max="8715" width="9.140625" style="236"/>
    <col min="8716" max="8716" width="23.7109375" style="236" customWidth="1"/>
    <col min="8717" max="8960" width="9.140625" style="236"/>
    <col min="8961" max="8961" width="13.140625" style="236" customWidth="1"/>
    <col min="8962" max="8962" width="18.28515625" style="236" customWidth="1"/>
    <col min="8963" max="8963" width="14.28515625" style="236" customWidth="1"/>
    <col min="8964" max="8964" width="12.85546875" style="236" customWidth="1"/>
    <col min="8965" max="8965" width="3.5703125" style="236" customWidth="1"/>
    <col min="8966" max="8966" width="16.5703125" style="236" bestFit="1" customWidth="1"/>
    <col min="8967" max="8967" width="9.140625" style="236"/>
    <col min="8968" max="8968" width="3.5703125" style="236" customWidth="1"/>
    <col min="8969" max="8969" width="15.42578125" style="236" customWidth="1"/>
    <col min="8970" max="8971" width="9.140625" style="236"/>
    <col min="8972" max="8972" width="23.7109375" style="236" customWidth="1"/>
    <col min="8973" max="9216" width="9.140625" style="236"/>
    <col min="9217" max="9217" width="13.140625" style="236" customWidth="1"/>
    <col min="9218" max="9218" width="18.28515625" style="236" customWidth="1"/>
    <col min="9219" max="9219" width="14.28515625" style="236" customWidth="1"/>
    <col min="9220" max="9220" width="12.85546875" style="236" customWidth="1"/>
    <col min="9221" max="9221" width="3.5703125" style="236" customWidth="1"/>
    <col min="9222" max="9222" width="16.5703125" style="236" bestFit="1" customWidth="1"/>
    <col min="9223" max="9223" width="9.140625" style="236"/>
    <col min="9224" max="9224" width="3.5703125" style="236" customWidth="1"/>
    <col min="9225" max="9225" width="15.42578125" style="236" customWidth="1"/>
    <col min="9226" max="9227" width="9.140625" style="236"/>
    <col min="9228" max="9228" width="23.7109375" style="236" customWidth="1"/>
    <col min="9229" max="9472" width="9.140625" style="236"/>
    <col min="9473" max="9473" width="13.140625" style="236" customWidth="1"/>
    <col min="9474" max="9474" width="18.28515625" style="236" customWidth="1"/>
    <col min="9475" max="9475" width="14.28515625" style="236" customWidth="1"/>
    <col min="9476" max="9476" width="12.85546875" style="236" customWidth="1"/>
    <col min="9477" max="9477" width="3.5703125" style="236" customWidth="1"/>
    <col min="9478" max="9478" width="16.5703125" style="236" bestFit="1" customWidth="1"/>
    <col min="9479" max="9479" width="9.140625" style="236"/>
    <col min="9480" max="9480" width="3.5703125" style="236" customWidth="1"/>
    <col min="9481" max="9481" width="15.42578125" style="236" customWidth="1"/>
    <col min="9482" max="9483" width="9.140625" style="236"/>
    <col min="9484" max="9484" width="23.7109375" style="236" customWidth="1"/>
    <col min="9485" max="9728" width="9.140625" style="236"/>
    <col min="9729" max="9729" width="13.140625" style="236" customWidth="1"/>
    <col min="9730" max="9730" width="18.28515625" style="236" customWidth="1"/>
    <col min="9731" max="9731" width="14.28515625" style="236" customWidth="1"/>
    <col min="9732" max="9732" width="12.85546875" style="236" customWidth="1"/>
    <col min="9733" max="9733" width="3.5703125" style="236" customWidth="1"/>
    <col min="9734" max="9734" width="16.5703125" style="236" bestFit="1" customWidth="1"/>
    <col min="9735" max="9735" width="9.140625" style="236"/>
    <col min="9736" max="9736" width="3.5703125" style="236" customWidth="1"/>
    <col min="9737" max="9737" width="15.42578125" style="236" customWidth="1"/>
    <col min="9738" max="9739" width="9.140625" style="236"/>
    <col min="9740" max="9740" width="23.7109375" style="236" customWidth="1"/>
    <col min="9741" max="9984" width="9.140625" style="236"/>
    <col min="9985" max="9985" width="13.140625" style="236" customWidth="1"/>
    <col min="9986" max="9986" width="18.28515625" style="236" customWidth="1"/>
    <col min="9987" max="9987" width="14.28515625" style="236" customWidth="1"/>
    <col min="9988" max="9988" width="12.85546875" style="236" customWidth="1"/>
    <col min="9989" max="9989" width="3.5703125" style="236" customWidth="1"/>
    <col min="9990" max="9990" width="16.5703125" style="236" bestFit="1" customWidth="1"/>
    <col min="9991" max="9991" width="9.140625" style="236"/>
    <col min="9992" max="9992" width="3.5703125" style="236" customWidth="1"/>
    <col min="9993" max="9993" width="15.42578125" style="236" customWidth="1"/>
    <col min="9994" max="9995" width="9.140625" style="236"/>
    <col min="9996" max="9996" width="23.7109375" style="236" customWidth="1"/>
    <col min="9997" max="10240" width="9.140625" style="236"/>
    <col min="10241" max="10241" width="13.140625" style="236" customWidth="1"/>
    <col min="10242" max="10242" width="18.28515625" style="236" customWidth="1"/>
    <col min="10243" max="10243" width="14.28515625" style="236" customWidth="1"/>
    <col min="10244" max="10244" width="12.85546875" style="236" customWidth="1"/>
    <col min="10245" max="10245" width="3.5703125" style="236" customWidth="1"/>
    <col min="10246" max="10246" width="16.5703125" style="236" bestFit="1" customWidth="1"/>
    <col min="10247" max="10247" width="9.140625" style="236"/>
    <col min="10248" max="10248" width="3.5703125" style="236" customWidth="1"/>
    <col min="10249" max="10249" width="15.42578125" style="236" customWidth="1"/>
    <col min="10250" max="10251" width="9.140625" style="236"/>
    <col min="10252" max="10252" width="23.7109375" style="236" customWidth="1"/>
    <col min="10253" max="10496" width="9.140625" style="236"/>
    <col min="10497" max="10497" width="13.140625" style="236" customWidth="1"/>
    <col min="10498" max="10498" width="18.28515625" style="236" customWidth="1"/>
    <col min="10499" max="10499" width="14.28515625" style="236" customWidth="1"/>
    <col min="10500" max="10500" width="12.85546875" style="236" customWidth="1"/>
    <col min="10501" max="10501" width="3.5703125" style="236" customWidth="1"/>
    <col min="10502" max="10502" width="16.5703125" style="236" bestFit="1" customWidth="1"/>
    <col min="10503" max="10503" width="9.140625" style="236"/>
    <col min="10504" max="10504" width="3.5703125" style="236" customWidth="1"/>
    <col min="10505" max="10505" width="15.42578125" style="236" customWidth="1"/>
    <col min="10506" max="10507" width="9.140625" style="236"/>
    <col min="10508" max="10508" width="23.7109375" style="236" customWidth="1"/>
    <col min="10509" max="10752" width="9.140625" style="236"/>
    <col min="10753" max="10753" width="13.140625" style="236" customWidth="1"/>
    <col min="10754" max="10754" width="18.28515625" style="236" customWidth="1"/>
    <col min="10755" max="10755" width="14.28515625" style="236" customWidth="1"/>
    <col min="10756" max="10756" width="12.85546875" style="236" customWidth="1"/>
    <col min="10757" max="10757" width="3.5703125" style="236" customWidth="1"/>
    <col min="10758" max="10758" width="16.5703125" style="236" bestFit="1" customWidth="1"/>
    <col min="10759" max="10759" width="9.140625" style="236"/>
    <col min="10760" max="10760" width="3.5703125" style="236" customWidth="1"/>
    <col min="10761" max="10761" width="15.42578125" style="236" customWidth="1"/>
    <col min="10762" max="10763" width="9.140625" style="236"/>
    <col min="10764" max="10764" width="23.7109375" style="236" customWidth="1"/>
    <col min="10765" max="11008" width="9.140625" style="236"/>
    <col min="11009" max="11009" width="13.140625" style="236" customWidth="1"/>
    <col min="11010" max="11010" width="18.28515625" style="236" customWidth="1"/>
    <col min="11011" max="11011" width="14.28515625" style="236" customWidth="1"/>
    <col min="11012" max="11012" width="12.85546875" style="236" customWidth="1"/>
    <col min="11013" max="11013" width="3.5703125" style="236" customWidth="1"/>
    <col min="11014" max="11014" width="16.5703125" style="236" bestFit="1" customWidth="1"/>
    <col min="11015" max="11015" width="9.140625" style="236"/>
    <col min="11016" max="11016" width="3.5703125" style="236" customWidth="1"/>
    <col min="11017" max="11017" width="15.42578125" style="236" customWidth="1"/>
    <col min="11018" max="11019" width="9.140625" style="236"/>
    <col min="11020" max="11020" width="23.7109375" style="236" customWidth="1"/>
    <col min="11021" max="11264" width="9.140625" style="236"/>
    <col min="11265" max="11265" width="13.140625" style="236" customWidth="1"/>
    <col min="11266" max="11266" width="18.28515625" style="236" customWidth="1"/>
    <col min="11267" max="11267" width="14.28515625" style="236" customWidth="1"/>
    <col min="11268" max="11268" width="12.85546875" style="236" customWidth="1"/>
    <col min="11269" max="11269" width="3.5703125" style="236" customWidth="1"/>
    <col min="11270" max="11270" width="16.5703125" style="236" bestFit="1" customWidth="1"/>
    <col min="11271" max="11271" width="9.140625" style="236"/>
    <col min="11272" max="11272" width="3.5703125" style="236" customWidth="1"/>
    <col min="11273" max="11273" width="15.42578125" style="236" customWidth="1"/>
    <col min="11274" max="11275" width="9.140625" style="236"/>
    <col min="11276" max="11276" width="23.7109375" style="236" customWidth="1"/>
    <col min="11277" max="11520" width="9.140625" style="236"/>
    <col min="11521" max="11521" width="13.140625" style="236" customWidth="1"/>
    <col min="11522" max="11522" width="18.28515625" style="236" customWidth="1"/>
    <col min="11523" max="11523" width="14.28515625" style="236" customWidth="1"/>
    <col min="11524" max="11524" width="12.85546875" style="236" customWidth="1"/>
    <col min="11525" max="11525" width="3.5703125" style="236" customWidth="1"/>
    <col min="11526" max="11526" width="16.5703125" style="236" bestFit="1" customWidth="1"/>
    <col min="11527" max="11527" width="9.140625" style="236"/>
    <col min="11528" max="11528" width="3.5703125" style="236" customWidth="1"/>
    <col min="11529" max="11529" width="15.42578125" style="236" customWidth="1"/>
    <col min="11530" max="11531" width="9.140625" style="236"/>
    <col min="11532" max="11532" width="23.7109375" style="236" customWidth="1"/>
    <col min="11533" max="11776" width="9.140625" style="236"/>
    <col min="11777" max="11777" width="13.140625" style="236" customWidth="1"/>
    <col min="11778" max="11778" width="18.28515625" style="236" customWidth="1"/>
    <col min="11779" max="11779" width="14.28515625" style="236" customWidth="1"/>
    <col min="11780" max="11780" width="12.85546875" style="236" customWidth="1"/>
    <col min="11781" max="11781" width="3.5703125" style="236" customWidth="1"/>
    <col min="11782" max="11782" width="16.5703125" style="236" bestFit="1" customWidth="1"/>
    <col min="11783" max="11783" width="9.140625" style="236"/>
    <col min="11784" max="11784" width="3.5703125" style="236" customWidth="1"/>
    <col min="11785" max="11785" width="15.42578125" style="236" customWidth="1"/>
    <col min="11786" max="11787" width="9.140625" style="236"/>
    <col min="11788" max="11788" width="23.7109375" style="236" customWidth="1"/>
    <col min="11789" max="12032" width="9.140625" style="236"/>
    <col min="12033" max="12033" width="13.140625" style="236" customWidth="1"/>
    <col min="12034" max="12034" width="18.28515625" style="236" customWidth="1"/>
    <col min="12035" max="12035" width="14.28515625" style="236" customWidth="1"/>
    <col min="12036" max="12036" width="12.85546875" style="236" customWidth="1"/>
    <col min="12037" max="12037" width="3.5703125" style="236" customWidth="1"/>
    <col min="12038" max="12038" width="16.5703125" style="236" bestFit="1" customWidth="1"/>
    <col min="12039" max="12039" width="9.140625" style="236"/>
    <col min="12040" max="12040" width="3.5703125" style="236" customWidth="1"/>
    <col min="12041" max="12041" width="15.42578125" style="236" customWidth="1"/>
    <col min="12042" max="12043" width="9.140625" style="236"/>
    <col min="12044" max="12044" width="23.7109375" style="236" customWidth="1"/>
    <col min="12045" max="12288" width="9.140625" style="236"/>
    <col min="12289" max="12289" width="13.140625" style="236" customWidth="1"/>
    <col min="12290" max="12290" width="18.28515625" style="236" customWidth="1"/>
    <col min="12291" max="12291" width="14.28515625" style="236" customWidth="1"/>
    <col min="12292" max="12292" width="12.85546875" style="236" customWidth="1"/>
    <col min="12293" max="12293" width="3.5703125" style="236" customWidth="1"/>
    <col min="12294" max="12294" width="16.5703125" style="236" bestFit="1" customWidth="1"/>
    <col min="12295" max="12295" width="9.140625" style="236"/>
    <col min="12296" max="12296" width="3.5703125" style="236" customWidth="1"/>
    <col min="12297" max="12297" width="15.42578125" style="236" customWidth="1"/>
    <col min="12298" max="12299" width="9.140625" style="236"/>
    <col min="12300" max="12300" width="23.7109375" style="236" customWidth="1"/>
    <col min="12301" max="12544" width="9.140625" style="236"/>
    <col min="12545" max="12545" width="13.140625" style="236" customWidth="1"/>
    <col min="12546" max="12546" width="18.28515625" style="236" customWidth="1"/>
    <col min="12547" max="12547" width="14.28515625" style="236" customWidth="1"/>
    <col min="12548" max="12548" width="12.85546875" style="236" customWidth="1"/>
    <col min="12549" max="12549" width="3.5703125" style="236" customWidth="1"/>
    <col min="12550" max="12550" width="16.5703125" style="236" bestFit="1" customWidth="1"/>
    <col min="12551" max="12551" width="9.140625" style="236"/>
    <col min="12552" max="12552" width="3.5703125" style="236" customWidth="1"/>
    <col min="12553" max="12553" width="15.42578125" style="236" customWidth="1"/>
    <col min="12554" max="12555" width="9.140625" style="236"/>
    <col min="12556" max="12556" width="23.7109375" style="236" customWidth="1"/>
    <col min="12557" max="12800" width="9.140625" style="236"/>
    <col min="12801" max="12801" width="13.140625" style="236" customWidth="1"/>
    <col min="12802" max="12802" width="18.28515625" style="236" customWidth="1"/>
    <col min="12803" max="12803" width="14.28515625" style="236" customWidth="1"/>
    <col min="12804" max="12804" width="12.85546875" style="236" customWidth="1"/>
    <col min="12805" max="12805" width="3.5703125" style="236" customWidth="1"/>
    <col min="12806" max="12806" width="16.5703125" style="236" bestFit="1" customWidth="1"/>
    <col min="12807" max="12807" width="9.140625" style="236"/>
    <col min="12808" max="12808" width="3.5703125" style="236" customWidth="1"/>
    <col min="12809" max="12809" width="15.42578125" style="236" customWidth="1"/>
    <col min="12810" max="12811" width="9.140625" style="236"/>
    <col min="12812" max="12812" width="23.7109375" style="236" customWidth="1"/>
    <col min="12813" max="13056" width="9.140625" style="236"/>
    <col min="13057" max="13057" width="13.140625" style="236" customWidth="1"/>
    <col min="13058" max="13058" width="18.28515625" style="236" customWidth="1"/>
    <col min="13059" max="13059" width="14.28515625" style="236" customWidth="1"/>
    <col min="13060" max="13060" width="12.85546875" style="236" customWidth="1"/>
    <col min="13061" max="13061" width="3.5703125" style="236" customWidth="1"/>
    <col min="13062" max="13062" width="16.5703125" style="236" bestFit="1" customWidth="1"/>
    <col min="13063" max="13063" width="9.140625" style="236"/>
    <col min="13064" max="13064" width="3.5703125" style="236" customWidth="1"/>
    <col min="13065" max="13065" width="15.42578125" style="236" customWidth="1"/>
    <col min="13066" max="13067" width="9.140625" style="236"/>
    <col min="13068" max="13068" width="23.7109375" style="236" customWidth="1"/>
    <col min="13069" max="13312" width="9.140625" style="236"/>
    <col min="13313" max="13313" width="13.140625" style="236" customWidth="1"/>
    <col min="13314" max="13314" width="18.28515625" style="236" customWidth="1"/>
    <col min="13315" max="13315" width="14.28515625" style="236" customWidth="1"/>
    <col min="13316" max="13316" width="12.85546875" style="236" customWidth="1"/>
    <col min="13317" max="13317" width="3.5703125" style="236" customWidth="1"/>
    <col min="13318" max="13318" width="16.5703125" style="236" bestFit="1" customWidth="1"/>
    <col min="13319" max="13319" width="9.140625" style="236"/>
    <col min="13320" max="13320" width="3.5703125" style="236" customWidth="1"/>
    <col min="13321" max="13321" width="15.42578125" style="236" customWidth="1"/>
    <col min="13322" max="13323" width="9.140625" style="236"/>
    <col min="13324" max="13324" width="23.7109375" style="236" customWidth="1"/>
    <col min="13325" max="13568" width="9.140625" style="236"/>
    <col min="13569" max="13569" width="13.140625" style="236" customWidth="1"/>
    <col min="13570" max="13570" width="18.28515625" style="236" customWidth="1"/>
    <col min="13571" max="13571" width="14.28515625" style="236" customWidth="1"/>
    <col min="13572" max="13572" width="12.85546875" style="236" customWidth="1"/>
    <col min="13573" max="13573" width="3.5703125" style="236" customWidth="1"/>
    <col min="13574" max="13574" width="16.5703125" style="236" bestFit="1" customWidth="1"/>
    <col min="13575" max="13575" width="9.140625" style="236"/>
    <col min="13576" max="13576" width="3.5703125" style="236" customWidth="1"/>
    <col min="13577" max="13577" width="15.42578125" style="236" customWidth="1"/>
    <col min="13578" max="13579" width="9.140625" style="236"/>
    <col min="13580" max="13580" width="23.7109375" style="236" customWidth="1"/>
    <col min="13581" max="13824" width="9.140625" style="236"/>
    <col min="13825" max="13825" width="13.140625" style="236" customWidth="1"/>
    <col min="13826" max="13826" width="18.28515625" style="236" customWidth="1"/>
    <col min="13827" max="13827" width="14.28515625" style="236" customWidth="1"/>
    <col min="13828" max="13828" width="12.85546875" style="236" customWidth="1"/>
    <col min="13829" max="13829" width="3.5703125" style="236" customWidth="1"/>
    <col min="13830" max="13830" width="16.5703125" style="236" bestFit="1" customWidth="1"/>
    <col min="13831" max="13831" width="9.140625" style="236"/>
    <col min="13832" max="13832" width="3.5703125" style="236" customWidth="1"/>
    <col min="13833" max="13833" width="15.42578125" style="236" customWidth="1"/>
    <col min="13834" max="13835" width="9.140625" style="236"/>
    <col min="13836" max="13836" width="23.7109375" style="236" customWidth="1"/>
    <col min="13837" max="14080" width="9.140625" style="236"/>
    <col min="14081" max="14081" width="13.140625" style="236" customWidth="1"/>
    <col min="14082" max="14082" width="18.28515625" style="236" customWidth="1"/>
    <col min="14083" max="14083" width="14.28515625" style="236" customWidth="1"/>
    <col min="14084" max="14084" width="12.85546875" style="236" customWidth="1"/>
    <col min="14085" max="14085" width="3.5703125" style="236" customWidth="1"/>
    <col min="14086" max="14086" width="16.5703125" style="236" bestFit="1" customWidth="1"/>
    <col min="14087" max="14087" width="9.140625" style="236"/>
    <col min="14088" max="14088" width="3.5703125" style="236" customWidth="1"/>
    <col min="14089" max="14089" width="15.42578125" style="236" customWidth="1"/>
    <col min="14090" max="14091" width="9.140625" style="236"/>
    <col min="14092" max="14092" width="23.7109375" style="236" customWidth="1"/>
    <col min="14093" max="14336" width="9.140625" style="236"/>
    <col min="14337" max="14337" width="13.140625" style="236" customWidth="1"/>
    <col min="14338" max="14338" width="18.28515625" style="236" customWidth="1"/>
    <col min="14339" max="14339" width="14.28515625" style="236" customWidth="1"/>
    <col min="14340" max="14340" width="12.85546875" style="236" customWidth="1"/>
    <col min="14341" max="14341" width="3.5703125" style="236" customWidth="1"/>
    <col min="14342" max="14342" width="16.5703125" style="236" bestFit="1" customWidth="1"/>
    <col min="14343" max="14343" width="9.140625" style="236"/>
    <col min="14344" max="14344" width="3.5703125" style="236" customWidth="1"/>
    <col min="14345" max="14345" width="15.42578125" style="236" customWidth="1"/>
    <col min="14346" max="14347" width="9.140625" style="236"/>
    <col min="14348" max="14348" width="23.7109375" style="236" customWidth="1"/>
    <col min="14349" max="14592" width="9.140625" style="236"/>
    <col min="14593" max="14593" width="13.140625" style="236" customWidth="1"/>
    <col min="14594" max="14594" width="18.28515625" style="236" customWidth="1"/>
    <col min="14595" max="14595" width="14.28515625" style="236" customWidth="1"/>
    <col min="14596" max="14596" width="12.85546875" style="236" customWidth="1"/>
    <col min="14597" max="14597" width="3.5703125" style="236" customWidth="1"/>
    <col min="14598" max="14598" width="16.5703125" style="236" bestFit="1" customWidth="1"/>
    <col min="14599" max="14599" width="9.140625" style="236"/>
    <col min="14600" max="14600" width="3.5703125" style="236" customWidth="1"/>
    <col min="14601" max="14601" width="15.42578125" style="236" customWidth="1"/>
    <col min="14602" max="14603" width="9.140625" style="236"/>
    <col min="14604" max="14604" width="23.7109375" style="236" customWidth="1"/>
    <col min="14605" max="14848" width="9.140625" style="236"/>
    <col min="14849" max="14849" width="13.140625" style="236" customWidth="1"/>
    <col min="14850" max="14850" width="18.28515625" style="236" customWidth="1"/>
    <col min="14851" max="14851" width="14.28515625" style="236" customWidth="1"/>
    <col min="14852" max="14852" width="12.85546875" style="236" customWidth="1"/>
    <col min="14853" max="14853" width="3.5703125" style="236" customWidth="1"/>
    <col min="14854" max="14854" width="16.5703125" style="236" bestFit="1" customWidth="1"/>
    <col min="14855" max="14855" width="9.140625" style="236"/>
    <col min="14856" max="14856" width="3.5703125" style="236" customWidth="1"/>
    <col min="14857" max="14857" width="15.42578125" style="236" customWidth="1"/>
    <col min="14858" max="14859" width="9.140625" style="236"/>
    <col min="14860" max="14860" width="23.7109375" style="236" customWidth="1"/>
    <col min="14861" max="15104" width="9.140625" style="236"/>
    <col min="15105" max="15105" width="13.140625" style="236" customWidth="1"/>
    <col min="15106" max="15106" width="18.28515625" style="236" customWidth="1"/>
    <col min="15107" max="15107" width="14.28515625" style="236" customWidth="1"/>
    <col min="15108" max="15108" width="12.85546875" style="236" customWidth="1"/>
    <col min="15109" max="15109" width="3.5703125" style="236" customWidth="1"/>
    <col min="15110" max="15110" width="16.5703125" style="236" bestFit="1" customWidth="1"/>
    <col min="15111" max="15111" width="9.140625" style="236"/>
    <col min="15112" max="15112" width="3.5703125" style="236" customWidth="1"/>
    <col min="15113" max="15113" width="15.42578125" style="236" customWidth="1"/>
    <col min="15114" max="15115" width="9.140625" style="236"/>
    <col min="15116" max="15116" width="23.7109375" style="236" customWidth="1"/>
    <col min="15117" max="15360" width="9.140625" style="236"/>
    <col min="15361" max="15361" width="13.140625" style="236" customWidth="1"/>
    <col min="15362" max="15362" width="18.28515625" style="236" customWidth="1"/>
    <col min="15363" max="15363" width="14.28515625" style="236" customWidth="1"/>
    <col min="15364" max="15364" width="12.85546875" style="236" customWidth="1"/>
    <col min="15365" max="15365" width="3.5703125" style="236" customWidth="1"/>
    <col min="15366" max="15366" width="16.5703125" style="236" bestFit="1" customWidth="1"/>
    <col min="15367" max="15367" width="9.140625" style="236"/>
    <col min="15368" max="15368" width="3.5703125" style="236" customWidth="1"/>
    <col min="15369" max="15369" width="15.42578125" style="236" customWidth="1"/>
    <col min="15370" max="15371" width="9.140625" style="236"/>
    <col min="15372" max="15372" width="23.7109375" style="236" customWidth="1"/>
    <col min="15373" max="15616" width="9.140625" style="236"/>
    <col min="15617" max="15617" width="13.140625" style="236" customWidth="1"/>
    <col min="15618" max="15618" width="18.28515625" style="236" customWidth="1"/>
    <col min="15619" max="15619" width="14.28515625" style="236" customWidth="1"/>
    <col min="15620" max="15620" width="12.85546875" style="236" customWidth="1"/>
    <col min="15621" max="15621" width="3.5703125" style="236" customWidth="1"/>
    <col min="15622" max="15622" width="16.5703125" style="236" bestFit="1" customWidth="1"/>
    <col min="15623" max="15623" width="9.140625" style="236"/>
    <col min="15624" max="15624" width="3.5703125" style="236" customWidth="1"/>
    <col min="15625" max="15625" width="15.42578125" style="236" customWidth="1"/>
    <col min="15626" max="15627" width="9.140625" style="236"/>
    <col min="15628" max="15628" width="23.7109375" style="236" customWidth="1"/>
    <col min="15629" max="15872" width="9.140625" style="236"/>
    <col min="15873" max="15873" width="13.140625" style="236" customWidth="1"/>
    <col min="15874" max="15874" width="18.28515625" style="236" customWidth="1"/>
    <col min="15875" max="15875" width="14.28515625" style="236" customWidth="1"/>
    <col min="15876" max="15876" width="12.85546875" style="236" customWidth="1"/>
    <col min="15877" max="15877" width="3.5703125" style="236" customWidth="1"/>
    <col min="15878" max="15878" width="16.5703125" style="236" bestFit="1" customWidth="1"/>
    <col min="15879" max="15879" width="9.140625" style="236"/>
    <col min="15880" max="15880" width="3.5703125" style="236" customWidth="1"/>
    <col min="15881" max="15881" width="15.42578125" style="236" customWidth="1"/>
    <col min="15882" max="15883" width="9.140625" style="236"/>
    <col min="15884" max="15884" width="23.7109375" style="236" customWidth="1"/>
    <col min="15885" max="16128" width="9.140625" style="236"/>
    <col min="16129" max="16129" width="13.140625" style="236" customWidth="1"/>
    <col min="16130" max="16130" width="18.28515625" style="236" customWidth="1"/>
    <col min="16131" max="16131" width="14.28515625" style="236" customWidth="1"/>
    <col min="16132" max="16132" width="12.85546875" style="236" customWidth="1"/>
    <col min="16133" max="16133" width="3.5703125" style="236" customWidth="1"/>
    <col min="16134" max="16134" width="16.5703125" style="236" bestFit="1" customWidth="1"/>
    <col min="16135" max="16135" width="9.140625" style="236"/>
    <col min="16136" max="16136" width="3.5703125" style="236" customWidth="1"/>
    <col min="16137" max="16137" width="15.42578125" style="236" customWidth="1"/>
    <col min="16138" max="16139" width="9.140625" style="236"/>
    <col min="16140" max="16140" width="23.7109375" style="236" customWidth="1"/>
    <col min="16141" max="16384" width="9.140625" style="236"/>
  </cols>
  <sheetData>
    <row r="1" spans="1:12" s="220" customFormat="1" ht="18" x14ac:dyDescent="0.35">
      <c r="A1" s="448" t="s">
        <v>352</v>
      </c>
      <c r="B1" s="448"/>
      <c r="C1" s="448"/>
      <c r="D1" s="448"/>
      <c r="E1" s="448"/>
      <c r="F1" s="448"/>
      <c r="G1" s="448"/>
      <c r="H1" s="448"/>
      <c r="I1" s="448"/>
      <c r="J1" s="448"/>
    </row>
    <row r="2" spans="1:12" s="221" customFormat="1" ht="18" x14ac:dyDescent="0.35">
      <c r="A2" s="445" t="s">
        <v>3</v>
      </c>
      <c r="B2" s="445"/>
      <c r="C2" s="445"/>
      <c r="D2" s="445"/>
      <c r="E2" s="445"/>
      <c r="F2" s="445"/>
      <c r="G2" s="445"/>
      <c r="H2" s="445"/>
      <c r="I2" s="445"/>
      <c r="J2" s="445"/>
    </row>
    <row r="3" spans="1:12" s="220" customFormat="1" ht="18" x14ac:dyDescent="0.35">
      <c r="A3" s="448" t="s">
        <v>353</v>
      </c>
      <c r="B3" s="448"/>
      <c r="C3" s="448"/>
      <c r="D3" s="448"/>
      <c r="E3" s="448"/>
      <c r="F3" s="448"/>
      <c r="G3" s="448"/>
      <c r="H3" s="448"/>
      <c r="I3" s="448"/>
      <c r="J3" s="448"/>
    </row>
    <row r="4" spans="1:12" s="220" customFormat="1" ht="18" x14ac:dyDescent="0.35">
      <c r="A4" s="448" t="s">
        <v>354</v>
      </c>
      <c r="B4" s="448"/>
      <c r="C4" s="448"/>
      <c r="D4" s="448"/>
      <c r="E4" s="448"/>
      <c r="F4" s="448"/>
      <c r="G4" s="448"/>
      <c r="H4" s="448"/>
      <c r="I4" s="448"/>
      <c r="J4" s="448"/>
    </row>
    <row r="5" spans="1:12" s="222" customFormat="1" ht="15" x14ac:dyDescent="0.3">
      <c r="B5" s="223"/>
      <c r="C5" s="223"/>
      <c r="D5" s="223"/>
      <c r="E5" s="223"/>
      <c r="F5" s="223"/>
      <c r="G5" s="223"/>
      <c r="H5" s="223"/>
      <c r="I5" s="223"/>
      <c r="J5" s="223"/>
    </row>
    <row r="6" spans="1:12" s="202" customFormat="1" ht="60" x14ac:dyDescent="0.3">
      <c r="A6" s="224" t="s">
        <v>355</v>
      </c>
      <c r="B6" s="225" t="s">
        <v>54</v>
      </c>
      <c r="C6" s="225" t="s">
        <v>356</v>
      </c>
      <c r="D6" s="225" t="s">
        <v>357</v>
      </c>
      <c r="E6" s="225"/>
      <c r="F6" s="225" t="s">
        <v>358</v>
      </c>
      <c r="G6" s="225" t="s">
        <v>356</v>
      </c>
      <c r="H6" s="225"/>
      <c r="I6" s="225" t="s">
        <v>359</v>
      </c>
      <c r="J6" s="225" t="s">
        <v>356</v>
      </c>
      <c r="K6" s="226"/>
      <c r="L6" s="226"/>
    </row>
    <row r="7" spans="1:12" s="202" customFormat="1" ht="15" x14ac:dyDescent="0.3">
      <c r="A7" s="202" t="s">
        <v>360</v>
      </c>
      <c r="B7" s="203">
        <v>11596523640.299999</v>
      </c>
      <c r="C7" s="206" t="s">
        <v>253</v>
      </c>
      <c r="D7" s="209">
        <v>2.6387194505680049E-2</v>
      </c>
      <c r="E7" s="206"/>
      <c r="F7" s="203">
        <f t="shared" ref="F7:F16" si="0">B7-I7</f>
        <v>11285813508.259998</v>
      </c>
      <c r="G7" s="206" t="s">
        <v>253</v>
      </c>
      <c r="H7" s="206"/>
      <c r="I7" s="203">
        <f>152078028.51+1161094.88+9151279.28+88362.74+148231366.63</f>
        <v>310710132.03999996</v>
      </c>
      <c r="J7" s="206" t="s">
        <v>253</v>
      </c>
      <c r="L7" s="207"/>
    </row>
    <row r="8" spans="1:12" s="202" customFormat="1" ht="15" x14ac:dyDescent="0.3">
      <c r="A8" s="202" t="s">
        <v>361</v>
      </c>
      <c r="B8" s="203">
        <v>12623281487.15</v>
      </c>
      <c r="C8" s="209">
        <f t="shared" ref="C8:C16" si="1">(B8-B7)/B7</f>
        <v>8.8540141744016518E-2</v>
      </c>
      <c r="D8" s="209">
        <v>5.5056962069309066E-2</v>
      </c>
      <c r="E8" s="206"/>
      <c r="F8" s="203">
        <f t="shared" si="0"/>
        <v>11980091638.1</v>
      </c>
      <c r="G8" s="209">
        <f t="shared" ref="G8:G16" si="2">(F8-F7)/F7</f>
        <v>6.1517774445932968E-2</v>
      </c>
      <c r="H8" s="206"/>
      <c r="I8" s="203">
        <f>178042694.94+1776419.31+3167571.82+657687.73+459545475.25</f>
        <v>643189849.04999995</v>
      </c>
      <c r="J8" s="209">
        <f t="shared" ref="J8:J16" si="3">(I8-I7)/I7</f>
        <v>1.0700639687127984</v>
      </c>
      <c r="L8" s="207"/>
    </row>
    <row r="9" spans="1:12" s="202" customFormat="1" ht="15" x14ac:dyDescent="0.3">
      <c r="A9" s="202" t="s">
        <v>331</v>
      </c>
      <c r="B9" s="203">
        <v>12838121598.02</v>
      </c>
      <c r="C9" s="209">
        <f t="shared" si="1"/>
        <v>1.7019355156478098E-2</v>
      </c>
      <c r="D9" s="209">
        <v>5.1199502817240866E-2</v>
      </c>
      <c r="E9" s="206"/>
      <c r="F9" s="203">
        <f t="shared" si="0"/>
        <v>12506314221.02</v>
      </c>
      <c r="G9" s="209">
        <f t="shared" si="2"/>
        <v>4.3924754402250722E-2</v>
      </c>
      <c r="H9" s="206"/>
      <c r="I9" s="203">
        <f>162629600.77+2093104.93+18001042.81+1043317.66+148040310.83</f>
        <v>331807377</v>
      </c>
      <c r="J9" s="209">
        <f t="shared" si="3"/>
        <v>-0.48412218027059356</v>
      </c>
    </row>
    <row r="10" spans="1:12" s="202" customFormat="1" ht="15" x14ac:dyDescent="0.3">
      <c r="A10" s="202" t="s">
        <v>332</v>
      </c>
      <c r="B10" s="203">
        <v>13270350501.809999</v>
      </c>
      <c r="C10" s="209">
        <f t="shared" si="1"/>
        <v>3.3667612546734317E-2</v>
      </c>
      <c r="D10" s="209">
        <v>3.6190129005740264E-2</v>
      </c>
      <c r="E10" s="206"/>
      <c r="F10" s="203">
        <f t="shared" si="0"/>
        <v>12870681734.07</v>
      </c>
      <c r="G10" s="209">
        <f t="shared" si="2"/>
        <v>2.9134684017261311E-2</v>
      </c>
      <c r="H10" s="206"/>
      <c r="I10" s="203">
        <f>202820588.32+1928230.79+5139528.51+158947.85+189621472.27</f>
        <v>399668767.74000001</v>
      </c>
      <c r="J10" s="209">
        <f t="shared" si="3"/>
        <v>0.20452044000215225</v>
      </c>
    </row>
    <row r="11" spans="1:12" s="202" customFormat="1" ht="15" x14ac:dyDescent="0.3">
      <c r="A11" s="202" t="s">
        <v>333</v>
      </c>
      <c r="B11" s="203">
        <v>14214358527.1</v>
      </c>
      <c r="C11" s="209">
        <f t="shared" si="1"/>
        <v>7.1136630879587062E-2</v>
      </c>
      <c r="D11" s="209">
        <v>1.4257956719077225E-2</v>
      </c>
      <c r="E11" s="206"/>
      <c r="F11" s="203">
        <f t="shared" si="0"/>
        <v>13700990052.99</v>
      </c>
      <c r="G11" s="209">
        <f t="shared" si="2"/>
        <v>6.4511603664481096E-2</v>
      </c>
      <c r="H11" s="206"/>
      <c r="I11" s="203">
        <f>268376807.02+1319150.85-1741045.6-20000+245433561.84</f>
        <v>513368474.11000001</v>
      </c>
      <c r="J11" s="209">
        <f t="shared" si="3"/>
        <v>0.28448484231814197</v>
      </c>
    </row>
    <row r="12" spans="1:12" s="202" customFormat="1" ht="15" x14ac:dyDescent="0.3">
      <c r="A12" s="202" t="s">
        <v>334</v>
      </c>
      <c r="B12" s="203">
        <v>12643008322.629999</v>
      </c>
      <c r="C12" s="209">
        <f t="shared" si="1"/>
        <v>-0.11054668428928298</v>
      </c>
      <c r="D12" s="209">
        <v>1.289467838590908E-2</v>
      </c>
      <c r="E12" s="206"/>
      <c r="F12" s="203">
        <f t="shared" si="0"/>
        <v>12270499652.789999</v>
      </c>
      <c r="G12" s="209">
        <f t="shared" si="2"/>
        <v>-0.10440781247686706</v>
      </c>
      <c r="H12" s="206"/>
      <c r="I12" s="203">
        <v>372508669.83999997</v>
      </c>
      <c r="J12" s="209">
        <f t="shared" si="3"/>
        <v>-0.27438343290207157</v>
      </c>
    </row>
    <row r="13" spans="1:12" s="202" customFormat="1" ht="15" x14ac:dyDescent="0.3">
      <c r="A13" s="202" t="s">
        <v>362</v>
      </c>
      <c r="B13" s="203">
        <v>13303105673.719999</v>
      </c>
      <c r="C13" s="209">
        <f t="shared" si="1"/>
        <v>5.2210465598482393E-2</v>
      </c>
      <c r="D13" s="209">
        <v>2.7507407085780897E-2</v>
      </c>
      <c r="E13" s="206"/>
      <c r="F13" s="203">
        <f t="shared" si="0"/>
        <v>13042329217.84</v>
      </c>
      <c r="G13" s="209">
        <f t="shared" si="2"/>
        <v>6.2901233600092782E-2</v>
      </c>
      <c r="H13" s="206"/>
      <c r="I13" s="203">
        <v>260776455.88</v>
      </c>
      <c r="J13" s="209">
        <f t="shared" si="3"/>
        <v>-0.29994527109393515</v>
      </c>
    </row>
    <row r="14" spans="1:12" s="202" customFormat="1" ht="15" x14ac:dyDescent="0.3">
      <c r="A14" s="202" t="s">
        <v>363</v>
      </c>
      <c r="B14" s="203">
        <v>13744373932</v>
      </c>
      <c r="C14" s="209">
        <f t="shared" si="1"/>
        <v>3.3170318954296264E-2</v>
      </c>
      <c r="D14" s="209">
        <v>4.5629651275498756E-2</v>
      </c>
      <c r="E14" s="206"/>
      <c r="F14" s="203">
        <f t="shared" si="0"/>
        <v>13462749638.33</v>
      </c>
      <c r="G14" s="209">
        <f t="shared" si="2"/>
        <v>3.2235071931394438E-2</v>
      </c>
      <c r="H14" s="206"/>
      <c r="I14" s="203">
        <v>281624293.67000002</v>
      </c>
      <c r="J14" s="209">
        <f t="shared" si="3"/>
        <v>7.9945245515543981E-2</v>
      </c>
    </row>
    <row r="15" spans="1:12" s="202" customFormat="1" ht="15" x14ac:dyDescent="0.3">
      <c r="A15" s="202" t="s">
        <v>364</v>
      </c>
      <c r="B15" s="203">
        <f>13771114174</f>
        <v>13771114174</v>
      </c>
      <c r="C15" s="209">
        <f t="shared" si="1"/>
        <v>1.9455409269492218E-3</v>
      </c>
      <c r="D15" s="209">
        <v>3.5000000000000003E-2</v>
      </c>
      <c r="E15" s="206"/>
      <c r="F15" s="203">
        <f t="shared" si="0"/>
        <v>13538963505.98</v>
      </c>
      <c r="G15" s="209">
        <f t="shared" si="2"/>
        <v>5.661092250650636E-3</v>
      </c>
      <c r="H15" s="206"/>
      <c r="I15" s="203">
        <f>222350186.62+34189.4+9766292</f>
        <v>232150668.02000001</v>
      </c>
      <c r="J15" s="209">
        <f t="shared" si="3"/>
        <v>-0.17567243580190531</v>
      </c>
    </row>
    <row r="16" spans="1:12" s="202" customFormat="1" ht="15" x14ac:dyDescent="0.3">
      <c r="A16" s="202" t="s">
        <v>365</v>
      </c>
      <c r="B16" s="203">
        <f>14170606492</f>
        <v>14170606492</v>
      </c>
      <c r="C16" s="209">
        <f t="shared" si="1"/>
        <v>2.9009440554508326E-2</v>
      </c>
      <c r="D16" s="209">
        <v>0.03</v>
      </c>
      <c r="E16" s="206"/>
      <c r="F16" s="203">
        <f t="shared" si="0"/>
        <v>13869275863.889999</v>
      </c>
      <c r="G16" s="209">
        <f t="shared" si="2"/>
        <v>2.4397167313738959E-2</v>
      </c>
      <c r="H16" s="206"/>
      <c r="I16" s="203">
        <f>41422225.01+154204867.09+43061553.92+33313918+29328064.09</f>
        <v>301330628.10999995</v>
      </c>
      <c r="J16" s="209">
        <f t="shared" si="3"/>
        <v>0.29799595529934042</v>
      </c>
    </row>
    <row r="17" spans="1:11" s="222" customFormat="1" ht="15" x14ac:dyDescent="0.3">
      <c r="B17" s="223"/>
      <c r="C17" s="223"/>
      <c r="D17" s="223"/>
      <c r="E17" s="223"/>
      <c r="F17" s="223"/>
      <c r="G17" s="223"/>
      <c r="H17" s="223"/>
      <c r="I17" s="223"/>
      <c r="J17" s="223"/>
    </row>
    <row r="18" spans="1:11" s="222" customFormat="1" ht="15" x14ac:dyDescent="0.3">
      <c r="A18" s="227" t="s">
        <v>366</v>
      </c>
      <c r="B18" s="228"/>
      <c r="C18" s="228"/>
      <c r="D18" s="228"/>
      <c r="E18" s="228"/>
      <c r="F18" s="228"/>
      <c r="G18" s="228"/>
      <c r="H18" s="228"/>
      <c r="I18" s="228"/>
      <c r="J18" s="228"/>
      <c r="K18" s="229"/>
    </row>
    <row r="19" spans="1:11" s="222" customFormat="1" ht="15" x14ac:dyDescent="0.3">
      <c r="A19" s="227" t="s">
        <v>367</v>
      </c>
      <c r="B19" s="228"/>
      <c r="C19" s="228"/>
      <c r="D19" s="228"/>
      <c r="E19" s="228"/>
      <c r="F19" s="228"/>
      <c r="G19" s="228"/>
      <c r="H19" s="228"/>
      <c r="I19" s="228"/>
      <c r="J19" s="228"/>
      <c r="K19" s="229"/>
    </row>
    <row r="20" spans="1:11" s="222" customFormat="1" ht="15" x14ac:dyDescent="0.3">
      <c r="B20" s="223"/>
      <c r="C20" s="223"/>
      <c r="D20" s="223"/>
      <c r="E20" s="223"/>
      <c r="F20" s="223"/>
      <c r="G20" s="223"/>
      <c r="H20" s="223"/>
      <c r="I20" s="223"/>
      <c r="J20" s="223"/>
    </row>
    <row r="21" spans="1:11" s="230" customFormat="1" ht="12.75" x14ac:dyDescent="0.2">
      <c r="A21" s="230" t="s">
        <v>368</v>
      </c>
      <c r="B21" s="231"/>
      <c r="F21" s="232"/>
    </row>
    <row r="22" spans="1:11" s="235" customFormat="1" ht="12.75" x14ac:dyDescent="0.2">
      <c r="A22" s="233" t="s">
        <v>369</v>
      </c>
      <c r="B22" s="234"/>
    </row>
    <row r="23" spans="1:11" s="235" customFormat="1" ht="12.75" x14ac:dyDescent="0.2">
      <c r="A23" s="233" t="s">
        <v>370</v>
      </c>
    </row>
    <row r="24" spans="1:11" s="235" customFormat="1" ht="12.75" x14ac:dyDescent="0.2">
      <c r="A24" s="233" t="s">
        <v>371</v>
      </c>
    </row>
    <row r="25" spans="1:11" s="235" customFormat="1" ht="12.75" x14ac:dyDescent="0.2">
      <c r="A25" s="233" t="s">
        <v>372</v>
      </c>
    </row>
    <row r="26" spans="1:11" s="235" customFormat="1" ht="12.75" x14ac:dyDescent="0.2">
      <c r="A26" s="233" t="s">
        <v>373</v>
      </c>
    </row>
    <row r="27" spans="1:11" s="235" customFormat="1" ht="12.75" x14ac:dyDescent="0.2">
      <c r="A27" s="233" t="s">
        <v>374</v>
      </c>
    </row>
    <row r="28" spans="1:11" s="235" customFormat="1" ht="12.75" x14ac:dyDescent="0.2">
      <c r="A28" s="233" t="s">
        <v>375</v>
      </c>
    </row>
    <row r="29" spans="1:11" s="235" customFormat="1" ht="12.75" x14ac:dyDescent="0.2">
      <c r="A29" s="233" t="s">
        <v>376</v>
      </c>
    </row>
    <row r="30" spans="1:11" s="235" customFormat="1" ht="12.75" x14ac:dyDescent="0.2">
      <c r="A30" s="233" t="s">
        <v>377</v>
      </c>
    </row>
    <row r="31" spans="1:11" s="235" customFormat="1" ht="12.75" x14ac:dyDescent="0.2">
      <c r="A31" s="233" t="s">
        <v>378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workbookViewId="0">
      <pane ySplit="6" topLeftCell="A7" activePane="bottomLeft" state="frozen"/>
      <selection pane="bottomLeft" activeCell="A7" sqref="A7"/>
    </sheetView>
  </sheetViews>
  <sheetFormatPr defaultRowHeight="16.5" x14ac:dyDescent="0.3"/>
  <cols>
    <col min="1" max="1" width="18.7109375" style="196" customWidth="1"/>
    <col min="2" max="2" width="15.42578125" style="187" customWidth="1"/>
    <col min="3" max="3" width="8.42578125" style="187" customWidth="1"/>
    <col min="4" max="4" width="10.28515625" style="187" customWidth="1"/>
    <col min="5" max="5" width="11" style="187" bestFit="1" customWidth="1"/>
    <col min="6" max="6" width="10.28515625" style="187" customWidth="1"/>
    <col min="7" max="7" width="10.7109375" style="187" customWidth="1"/>
    <col min="8" max="8" width="11" style="187" customWidth="1"/>
    <col min="9" max="9" width="12" style="187" customWidth="1"/>
    <col min="10" max="10" width="14.42578125" style="187" customWidth="1"/>
    <col min="11" max="11" width="11.85546875" style="187" customWidth="1"/>
    <col min="12" max="12" width="8.42578125" style="187" bestFit="1" customWidth="1"/>
    <col min="13" max="13" width="11.28515625" style="187" customWidth="1"/>
    <col min="14" max="14" width="13.85546875" style="187" customWidth="1"/>
    <col min="15" max="15" width="12" style="187" customWidth="1"/>
    <col min="16" max="16" width="9.140625" style="188"/>
    <col min="17" max="17" width="12.85546875" style="188" bestFit="1" customWidth="1"/>
    <col min="18" max="256" width="9.140625" style="188"/>
    <col min="257" max="257" width="12.42578125" style="188" customWidth="1"/>
    <col min="258" max="258" width="10.85546875" style="188" customWidth="1"/>
    <col min="259" max="259" width="12.42578125" style="188" customWidth="1"/>
    <col min="260" max="260" width="12.140625" style="188" customWidth="1"/>
    <col min="261" max="261" width="12.85546875" style="188" customWidth="1"/>
    <col min="262" max="262" width="11.140625" style="188" customWidth="1"/>
    <col min="263" max="263" width="10.5703125" style="188" customWidth="1"/>
    <col min="264" max="264" width="12.85546875" style="188" customWidth="1"/>
    <col min="265" max="265" width="11" style="188" customWidth="1"/>
    <col min="266" max="266" width="15.7109375" style="188" customWidth="1"/>
    <col min="267" max="267" width="12.5703125" style="188" customWidth="1"/>
    <col min="268" max="268" width="13.42578125" style="188" customWidth="1"/>
    <col min="269" max="269" width="12.42578125" style="188" customWidth="1"/>
    <col min="270" max="270" width="12.7109375" style="188" customWidth="1"/>
    <col min="271" max="271" width="11.42578125" style="188" customWidth="1"/>
    <col min="272" max="512" width="9.140625" style="188"/>
    <col min="513" max="513" width="12.42578125" style="188" customWidth="1"/>
    <col min="514" max="514" width="10.85546875" style="188" customWidth="1"/>
    <col min="515" max="515" width="12.42578125" style="188" customWidth="1"/>
    <col min="516" max="516" width="12.140625" style="188" customWidth="1"/>
    <col min="517" max="517" width="12.85546875" style="188" customWidth="1"/>
    <col min="518" max="518" width="11.140625" style="188" customWidth="1"/>
    <col min="519" max="519" width="10.5703125" style="188" customWidth="1"/>
    <col min="520" max="520" width="12.85546875" style="188" customWidth="1"/>
    <col min="521" max="521" width="11" style="188" customWidth="1"/>
    <col min="522" max="522" width="15.7109375" style="188" customWidth="1"/>
    <col min="523" max="523" width="12.5703125" style="188" customWidth="1"/>
    <col min="524" max="524" width="13.42578125" style="188" customWidth="1"/>
    <col min="525" max="525" width="12.42578125" style="188" customWidth="1"/>
    <col min="526" max="526" width="12.7109375" style="188" customWidth="1"/>
    <col min="527" max="527" width="11.42578125" style="188" customWidth="1"/>
    <col min="528" max="768" width="9.140625" style="188"/>
    <col min="769" max="769" width="12.42578125" style="188" customWidth="1"/>
    <col min="770" max="770" width="10.85546875" style="188" customWidth="1"/>
    <col min="771" max="771" width="12.42578125" style="188" customWidth="1"/>
    <col min="772" max="772" width="12.140625" style="188" customWidth="1"/>
    <col min="773" max="773" width="12.85546875" style="188" customWidth="1"/>
    <col min="774" max="774" width="11.140625" style="188" customWidth="1"/>
    <col min="775" max="775" width="10.5703125" style="188" customWidth="1"/>
    <col min="776" max="776" width="12.85546875" style="188" customWidth="1"/>
    <col min="777" max="777" width="11" style="188" customWidth="1"/>
    <col min="778" max="778" width="15.7109375" style="188" customWidth="1"/>
    <col min="779" max="779" width="12.5703125" style="188" customWidth="1"/>
    <col min="780" max="780" width="13.42578125" style="188" customWidth="1"/>
    <col min="781" max="781" width="12.42578125" style="188" customWidth="1"/>
    <col min="782" max="782" width="12.7109375" style="188" customWidth="1"/>
    <col min="783" max="783" width="11.42578125" style="188" customWidth="1"/>
    <col min="784" max="1024" width="9.140625" style="188"/>
    <col min="1025" max="1025" width="12.42578125" style="188" customWidth="1"/>
    <col min="1026" max="1026" width="10.85546875" style="188" customWidth="1"/>
    <col min="1027" max="1027" width="12.42578125" style="188" customWidth="1"/>
    <col min="1028" max="1028" width="12.140625" style="188" customWidth="1"/>
    <col min="1029" max="1029" width="12.85546875" style="188" customWidth="1"/>
    <col min="1030" max="1030" width="11.140625" style="188" customWidth="1"/>
    <col min="1031" max="1031" width="10.5703125" style="188" customWidth="1"/>
    <col min="1032" max="1032" width="12.85546875" style="188" customWidth="1"/>
    <col min="1033" max="1033" width="11" style="188" customWidth="1"/>
    <col min="1034" max="1034" width="15.7109375" style="188" customWidth="1"/>
    <col min="1035" max="1035" width="12.5703125" style="188" customWidth="1"/>
    <col min="1036" max="1036" width="13.42578125" style="188" customWidth="1"/>
    <col min="1037" max="1037" width="12.42578125" style="188" customWidth="1"/>
    <col min="1038" max="1038" width="12.7109375" style="188" customWidth="1"/>
    <col min="1039" max="1039" width="11.42578125" style="188" customWidth="1"/>
    <col min="1040" max="1280" width="9.140625" style="188"/>
    <col min="1281" max="1281" width="12.42578125" style="188" customWidth="1"/>
    <col min="1282" max="1282" width="10.85546875" style="188" customWidth="1"/>
    <col min="1283" max="1283" width="12.42578125" style="188" customWidth="1"/>
    <col min="1284" max="1284" width="12.140625" style="188" customWidth="1"/>
    <col min="1285" max="1285" width="12.85546875" style="188" customWidth="1"/>
    <col min="1286" max="1286" width="11.140625" style="188" customWidth="1"/>
    <col min="1287" max="1287" width="10.5703125" style="188" customWidth="1"/>
    <col min="1288" max="1288" width="12.85546875" style="188" customWidth="1"/>
    <col min="1289" max="1289" width="11" style="188" customWidth="1"/>
    <col min="1290" max="1290" width="15.7109375" style="188" customWidth="1"/>
    <col min="1291" max="1291" width="12.5703125" style="188" customWidth="1"/>
    <col min="1292" max="1292" width="13.42578125" style="188" customWidth="1"/>
    <col min="1293" max="1293" width="12.42578125" style="188" customWidth="1"/>
    <col min="1294" max="1294" width="12.7109375" style="188" customWidth="1"/>
    <col min="1295" max="1295" width="11.42578125" style="188" customWidth="1"/>
    <col min="1296" max="1536" width="9.140625" style="188"/>
    <col min="1537" max="1537" width="12.42578125" style="188" customWidth="1"/>
    <col min="1538" max="1538" width="10.85546875" style="188" customWidth="1"/>
    <col min="1539" max="1539" width="12.42578125" style="188" customWidth="1"/>
    <col min="1540" max="1540" width="12.140625" style="188" customWidth="1"/>
    <col min="1541" max="1541" width="12.85546875" style="188" customWidth="1"/>
    <col min="1542" max="1542" width="11.140625" style="188" customWidth="1"/>
    <col min="1543" max="1543" width="10.5703125" style="188" customWidth="1"/>
    <col min="1544" max="1544" width="12.85546875" style="188" customWidth="1"/>
    <col min="1545" max="1545" width="11" style="188" customWidth="1"/>
    <col min="1546" max="1546" width="15.7109375" style="188" customWidth="1"/>
    <col min="1547" max="1547" width="12.5703125" style="188" customWidth="1"/>
    <col min="1548" max="1548" width="13.42578125" style="188" customWidth="1"/>
    <col min="1549" max="1549" width="12.42578125" style="188" customWidth="1"/>
    <col min="1550" max="1550" width="12.7109375" style="188" customWidth="1"/>
    <col min="1551" max="1551" width="11.42578125" style="188" customWidth="1"/>
    <col min="1552" max="1792" width="9.140625" style="188"/>
    <col min="1793" max="1793" width="12.42578125" style="188" customWidth="1"/>
    <col min="1794" max="1794" width="10.85546875" style="188" customWidth="1"/>
    <col min="1795" max="1795" width="12.42578125" style="188" customWidth="1"/>
    <col min="1796" max="1796" width="12.140625" style="188" customWidth="1"/>
    <col min="1797" max="1797" width="12.85546875" style="188" customWidth="1"/>
    <col min="1798" max="1798" width="11.140625" style="188" customWidth="1"/>
    <col min="1799" max="1799" width="10.5703125" style="188" customWidth="1"/>
    <col min="1800" max="1800" width="12.85546875" style="188" customWidth="1"/>
    <col min="1801" max="1801" width="11" style="188" customWidth="1"/>
    <col min="1802" max="1802" width="15.7109375" style="188" customWidth="1"/>
    <col min="1803" max="1803" width="12.5703125" style="188" customWidth="1"/>
    <col min="1804" max="1804" width="13.42578125" style="188" customWidth="1"/>
    <col min="1805" max="1805" width="12.42578125" style="188" customWidth="1"/>
    <col min="1806" max="1806" width="12.7109375" style="188" customWidth="1"/>
    <col min="1807" max="1807" width="11.42578125" style="188" customWidth="1"/>
    <col min="1808" max="2048" width="9.140625" style="188"/>
    <col min="2049" max="2049" width="12.42578125" style="188" customWidth="1"/>
    <col min="2050" max="2050" width="10.85546875" style="188" customWidth="1"/>
    <col min="2051" max="2051" width="12.42578125" style="188" customWidth="1"/>
    <col min="2052" max="2052" width="12.140625" style="188" customWidth="1"/>
    <col min="2053" max="2053" width="12.85546875" style="188" customWidth="1"/>
    <col min="2054" max="2054" width="11.140625" style="188" customWidth="1"/>
    <col min="2055" max="2055" width="10.5703125" style="188" customWidth="1"/>
    <col min="2056" max="2056" width="12.85546875" style="188" customWidth="1"/>
    <col min="2057" max="2057" width="11" style="188" customWidth="1"/>
    <col min="2058" max="2058" width="15.7109375" style="188" customWidth="1"/>
    <col min="2059" max="2059" width="12.5703125" style="188" customWidth="1"/>
    <col min="2060" max="2060" width="13.42578125" style="188" customWidth="1"/>
    <col min="2061" max="2061" width="12.42578125" style="188" customWidth="1"/>
    <col min="2062" max="2062" width="12.7109375" style="188" customWidth="1"/>
    <col min="2063" max="2063" width="11.42578125" style="188" customWidth="1"/>
    <col min="2064" max="2304" width="9.140625" style="188"/>
    <col min="2305" max="2305" width="12.42578125" style="188" customWidth="1"/>
    <col min="2306" max="2306" width="10.85546875" style="188" customWidth="1"/>
    <col min="2307" max="2307" width="12.42578125" style="188" customWidth="1"/>
    <col min="2308" max="2308" width="12.140625" style="188" customWidth="1"/>
    <col min="2309" max="2309" width="12.85546875" style="188" customWidth="1"/>
    <col min="2310" max="2310" width="11.140625" style="188" customWidth="1"/>
    <col min="2311" max="2311" width="10.5703125" style="188" customWidth="1"/>
    <col min="2312" max="2312" width="12.85546875" style="188" customWidth="1"/>
    <col min="2313" max="2313" width="11" style="188" customWidth="1"/>
    <col min="2314" max="2314" width="15.7109375" style="188" customWidth="1"/>
    <col min="2315" max="2315" width="12.5703125" style="188" customWidth="1"/>
    <col min="2316" max="2316" width="13.42578125" style="188" customWidth="1"/>
    <col min="2317" max="2317" width="12.42578125" style="188" customWidth="1"/>
    <col min="2318" max="2318" width="12.7109375" style="188" customWidth="1"/>
    <col min="2319" max="2319" width="11.42578125" style="188" customWidth="1"/>
    <col min="2320" max="2560" width="9.140625" style="188"/>
    <col min="2561" max="2561" width="12.42578125" style="188" customWidth="1"/>
    <col min="2562" max="2562" width="10.85546875" style="188" customWidth="1"/>
    <col min="2563" max="2563" width="12.42578125" style="188" customWidth="1"/>
    <col min="2564" max="2564" width="12.140625" style="188" customWidth="1"/>
    <col min="2565" max="2565" width="12.85546875" style="188" customWidth="1"/>
    <col min="2566" max="2566" width="11.140625" style="188" customWidth="1"/>
    <col min="2567" max="2567" width="10.5703125" style="188" customWidth="1"/>
    <col min="2568" max="2568" width="12.85546875" style="188" customWidth="1"/>
    <col min="2569" max="2569" width="11" style="188" customWidth="1"/>
    <col min="2570" max="2570" width="15.7109375" style="188" customWidth="1"/>
    <col min="2571" max="2571" width="12.5703125" style="188" customWidth="1"/>
    <col min="2572" max="2572" width="13.42578125" style="188" customWidth="1"/>
    <col min="2573" max="2573" width="12.42578125" style="188" customWidth="1"/>
    <col min="2574" max="2574" width="12.7109375" style="188" customWidth="1"/>
    <col min="2575" max="2575" width="11.42578125" style="188" customWidth="1"/>
    <col min="2576" max="2816" width="9.140625" style="188"/>
    <col min="2817" max="2817" width="12.42578125" style="188" customWidth="1"/>
    <col min="2818" max="2818" width="10.85546875" style="188" customWidth="1"/>
    <col min="2819" max="2819" width="12.42578125" style="188" customWidth="1"/>
    <col min="2820" max="2820" width="12.140625" style="188" customWidth="1"/>
    <col min="2821" max="2821" width="12.85546875" style="188" customWidth="1"/>
    <col min="2822" max="2822" width="11.140625" style="188" customWidth="1"/>
    <col min="2823" max="2823" width="10.5703125" style="188" customWidth="1"/>
    <col min="2824" max="2824" width="12.85546875" style="188" customWidth="1"/>
    <col min="2825" max="2825" width="11" style="188" customWidth="1"/>
    <col min="2826" max="2826" width="15.7109375" style="188" customWidth="1"/>
    <col min="2827" max="2827" width="12.5703125" style="188" customWidth="1"/>
    <col min="2828" max="2828" width="13.42578125" style="188" customWidth="1"/>
    <col min="2829" max="2829" width="12.42578125" style="188" customWidth="1"/>
    <col min="2830" max="2830" width="12.7109375" style="188" customWidth="1"/>
    <col min="2831" max="2831" width="11.42578125" style="188" customWidth="1"/>
    <col min="2832" max="3072" width="9.140625" style="188"/>
    <col min="3073" max="3073" width="12.42578125" style="188" customWidth="1"/>
    <col min="3074" max="3074" width="10.85546875" style="188" customWidth="1"/>
    <col min="3075" max="3075" width="12.42578125" style="188" customWidth="1"/>
    <col min="3076" max="3076" width="12.140625" style="188" customWidth="1"/>
    <col min="3077" max="3077" width="12.85546875" style="188" customWidth="1"/>
    <col min="3078" max="3078" width="11.140625" style="188" customWidth="1"/>
    <col min="3079" max="3079" width="10.5703125" style="188" customWidth="1"/>
    <col min="3080" max="3080" width="12.85546875" style="188" customWidth="1"/>
    <col min="3081" max="3081" width="11" style="188" customWidth="1"/>
    <col min="3082" max="3082" width="15.7109375" style="188" customWidth="1"/>
    <col min="3083" max="3083" width="12.5703125" style="188" customWidth="1"/>
    <col min="3084" max="3084" width="13.42578125" style="188" customWidth="1"/>
    <col min="3085" max="3085" width="12.42578125" style="188" customWidth="1"/>
    <col min="3086" max="3086" width="12.7109375" style="188" customWidth="1"/>
    <col min="3087" max="3087" width="11.42578125" style="188" customWidth="1"/>
    <col min="3088" max="3328" width="9.140625" style="188"/>
    <col min="3329" max="3329" width="12.42578125" style="188" customWidth="1"/>
    <col min="3330" max="3330" width="10.85546875" style="188" customWidth="1"/>
    <col min="3331" max="3331" width="12.42578125" style="188" customWidth="1"/>
    <col min="3332" max="3332" width="12.140625" style="188" customWidth="1"/>
    <col min="3333" max="3333" width="12.85546875" style="188" customWidth="1"/>
    <col min="3334" max="3334" width="11.140625" style="188" customWidth="1"/>
    <col min="3335" max="3335" width="10.5703125" style="188" customWidth="1"/>
    <col min="3336" max="3336" width="12.85546875" style="188" customWidth="1"/>
    <col min="3337" max="3337" width="11" style="188" customWidth="1"/>
    <col min="3338" max="3338" width="15.7109375" style="188" customWidth="1"/>
    <col min="3339" max="3339" width="12.5703125" style="188" customWidth="1"/>
    <col min="3340" max="3340" width="13.42578125" style="188" customWidth="1"/>
    <col min="3341" max="3341" width="12.42578125" style="188" customWidth="1"/>
    <col min="3342" max="3342" width="12.7109375" style="188" customWidth="1"/>
    <col min="3343" max="3343" width="11.42578125" style="188" customWidth="1"/>
    <col min="3344" max="3584" width="9.140625" style="188"/>
    <col min="3585" max="3585" width="12.42578125" style="188" customWidth="1"/>
    <col min="3586" max="3586" width="10.85546875" style="188" customWidth="1"/>
    <col min="3587" max="3587" width="12.42578125" style="188" customWidth="1"/>
    <col min="3588" max="3588" width="12.140625" style="188" customWidth="1"/>
    <col min="3589" max="3589" width="12.85546875" style="188" customWidth="1"/>
    <col min="3590" max="3590" width="11.140625" style="188" customWidth="1"/>
    <col min="3591" max="3591" width="10.5703125" style="188" customWidth="1"/>
    <col min="3592" max="3592" width="12.85546875" style="188" customWidth="1"/>
    <col min="3593" max="3593" width="11" style="188" customWidth="1"/>
    <col min="3594" max="3594" width="15.7109375" style="188" customWidth="1"/>
    <col min="3595" max="3595" width="12.5703125" style="188" customWidth="1"/>
    <col min="3596" max="3596" width="13.42578125" style="188" customWidth="1"/>
    <col min="3597" max="3597" width="12.42578125" style="188" customWidth="1"/>
    <col min="3598" max="3598" width="12.7109375" style="188" customWidth="1"/>
    <col min="3599" max="3599" width="11.42578125" style="188" customWidth="1"/>
    <col min="3600" max="3840" width="9.140625" style="188"/>
    <col min="3841" max="3841" width="12.42578125" style="188" customWidth="1"/>
    <col min="3842" max="3842" width="10.85546875" style="188" customWidth="1"/>
    <col min="3843" max="3843" width="12.42578125" style="188" customWidth="1"/>
    <col min="3844" max="3844" width="12.140625" style="188" customWidth="1"/>
    <col min="3845" max="3845" width="12.85546875" style="188" customWidth="1"/>
    <col min="3846" max="3846" width="11.140625" style="188" customWidth="1"/>
    <col min="3847" max="3847" width="10.5703125" style="188" customWidth="1"/>
    <col min="3848" max="3848" width="12.85546875" style="188" customWidth="1"/>
    <col min="3849" max="3849" width="11" style="188" customWidth="1"/>
    <col min="3850" max="3850" width="15.7109375" style="188" customWidth="1"/>
    <col min="3851" max="3851" width="12.5703125" style="188" customWidth="1"/>
    <col min="3852" max="3852" width="13.42578125" style="188" customWidth="1"/>
    <col min="3853" max="3853" width="12.42578125" style="188" customWidth="1"/>
    <col min="3854" max="3854" width="12.7109375" style="188" customWidth="1"/>
    <col min="3855" max="3855" width="11.42578125" style="188" customWidth="1"/>
    <col min="3856" max="4096" width="9.140625" style="188"/>
    <col min="4097" max="4097" width="12.42578125" style="188" customWidth="1"/>
    <col min="4098" max="4098" width="10.85546875" style="188" customWidth="1"/>
    <col min="4099" max="4099" width="12.42578125" style="188" customWidth="1"/>
    <col min="4100" max="4100" width="12.140625" style="188" customWidth="1"/>
    <col min="4101" max="4101" width="12.85546875" style="188" customWidth="1"/>
    <col min="4102" max="4102" width="11.140625" style="188" customWidth="1"/>
    <col min="4103" max="4103" width="10.5703125" style="188" customWidth="1"/>
    <col min="4104" max="4104" width="12.85546875" style="188" customWidth="1"/>
    <col min="4105" max="4105" width="11" style="188" customWidth="1"/>
    <col min="4106" max="4106" width="15.7109375" style="188" customWidth="1"/>
    <col min="4107" max="4107" width="12.5703125" style="188" customWidth="1"/>
    <col min="4108" max="4108" width="13.42578125" style="188" customWidth="1"/>
    <col min="4109" max="4109" width="12.42578125" style="188" customWidth="1"/>
    <col min="4110" max="4110" width="12.7109375" style="188" customWidth="1"/>
    <col min="4111" max="4111" width="11.42578125" style="188" customWidth="1"/>
    <col min="4112" max="4352" width="9.140625" style="188"/>
    <col min="4353" max="4353" width="12.42578125" style="188" customWidth="1"/>
    <col min="4354" max="4354" width="10.85546875" style="188" customWidth="1"/>
    <col min="4355" max="4355" width="12.42578125" style="188" customWidth="1"/>
    <col min="4356" max="4356" width="12.140625" style="188" customWidth="1"/>
    <col min="4357" max="4357" width="12.85546875" style="188" customWidth="1"/>
    <col min="4358" max="4358" width="11.140625" style="188" customWidth="1"/>
    <col min="4359" max="4359" width="10.5703125" style="188" customWidth="1"/>
    <col min="4360" max="4360" width="12.85546875" style="188" customWidth="1"/>
    <col min="4361" max="4361" width="11" style="188" customWidth="1"/>
    <col min="4362" max="4362" width="15.7109375" style="188" customWidth="1"/>
    <col min="4363" max="4363" width="12.5703125" style="188" customWidth="1"/>
    <col min="4364" max="4364" width="13.42578125" style="188" customWidth="1"/>
    <col min="4365" max="4365" width="12.42578125" style="188" customWidth="1"/>
    <col min="4366" max="4366" width="12.7109375" style="188" customWidth="1"/>
    <col min="4367" max="4367" width="11.42578125" style="188" customWidth="1"/>
    <col min="4368" max="4608" width="9.140625" style="188"/>
    <col min="4609" max="4609" width="12.42578125" style="188" customWidth="1"/>
    <col min="4610" max="4610" width="10.85546875" style="188" customWidth="1"/>
    <col min="4611" max="4611" width="12.42578125" style="188" customWidth="1"/>
    <col min="4612" max="4612" width="12.140625" style="188" customWidth="1"/>
    <col min="4613" max="4613" width="12.85546875" style="188" customWidth="1"/>
    <col min="4614" max="4614" width="11.140625" style="188" customWidth="1"/>
    <col min="4615" max="4615" width="10.5703125" style="188" customWidth="1"/>
    <col min="4616" max="4616" width="12.85546875" style="188" customWidth="1"/>
    <col min="4617" max="4617" width="11" style="188" customWidth="1"/>
    <col min="4618" max="4618" width="15.7109375" style="188" customWidth="1"/>
    <col min="4619" max="4619" width="12.5703125" style="188" customWidth="1"/>
    <col min="4620" max="4620" width="13.42578125" style="188" customWidth="1"/>
    <col min="4621" max="4621" width="12.42578125" style="188" customWidth="1"/>
    <col min="4622" max="4622" width="12.7109375" style="188" customWidth="1"/>
    <col min="4623" max="4623" width="11.42578125" style="188" customWidth="1"/>
    <col min="4624" max="4864" width="9.140625" style="188"/>
    <col min="4865" max="4865" width="12.42578125" style="188" customWidth="1"/>
    <col min="4866" max="4866" width="10.85546875" style="188" customWidth="1"/>
    <col min="4867" max="4867" width="12.42578125" style="188" customWidth="1"/>
    <col min="4868" max="4868" width="12.140625" style="188" customWidth="1"/>
    <col min="4869" max="4869" width="12.85546875" style="188" customWidth="1"/>
    <col min="4870" max="4870" width="11.140625" style="188" customWidth="1"/>
    <col min="4871" max="4871" width="10.5703125" style="188" customWidth="1"/>
    <col min="4872" max="4872" width="12.85546875" style="188" customWidth="1"/>
    <col min="4873" max="4873" width="11" style="188" customWidth="1"/>
    <col min="4874" max="4874" width="15.7109375" style="188" customWidth="1"/>
    <col min="4875" max="4875" width="12.5703125" style="188" customWidth="1"/>
    <col min="4876" max="4876" width="13.42578125" style="188" customWidth="1"/>
    <col min="4877" max="4877" width="12.42578125" style="188" customWidth="1"/>
    <col min="4878" max="4878" width="12.7109375" style="188" customWidth="1"/>
    <col min="4879" max="4879" width="11.42578125" style="188" customWidth="1"/>
    <col min="4880" max="5120" width="9.140625" style="188"/>
    <col min="5121" max="5121" width="12.42578125" style="188" customWidth="1"/>
    <col min="5122" max="5122" width="10.85546875" style="188" customWidth="1"/>
    <col min="5123" max="5123" width="12.42578125" style="188" customWidth="1"/>
    <col min="5124" max="5124" width="12.140625" style="188" customWidth="1"/>
    <col min="5125" max="5125" width="12.85546875" style="188" customWidth="1"/>
    <col min="5126" max="5126" width="11.140625" style="188" customWidth="1"/>
    <col min="5127" max="5127" width="10.5703125" style="188" customWidth="1"/>
    <col min="5128" max="5128" width="12.85546875" style="188" customWidth="1"/>
    <col min="5129" max="5129" width="11" style="188" customWidth="1"/>
    <col min="5130" max="5130" width="15.7109375" style="188" customWidth="1"/>
    <col min="5131" max="5131" width="12.5703125" style="188" customWidth="1"/>
    <col min="5132" max="5132" width="13.42578125" style="188" customWidth="1"/>
    <col min="5133" max="5133" width="12.42578125" style="188" customWidth="1"/>
    <col min="5134" max="5134" width="12.7109375" style="188" customWidth="1"/>
    <col min="5135" max="5135" width="11.42578125" style="188" customWidth="1"/>
    <col min="5136" max="5376" width="9.140625" style="188"/>
    <col min="5377" max="5377" width="12.42578125" style="188" customWidth="1"/>
    <col min="5378" max="5378" width="10.85546875" style="188" customWidth="1"/>
    <col min="5379" max="5379" width="12.42578125" style="188" customWidth="1"/>
    <col min="5380" max="5380" width="12.140625" style="188" customWidth="1"/>
    <col min="5381" max="5381" width="12.85546875" style="188" customWidth="1"/>
    <col min="5382" max="5382" width="11.140625" style="188" customWidth="1"/>
    <col min="5383" max="5383" width="10.5703125" style="188" customWidth="1"/>
    <col min="5384" max="5384" width="12.85546875" style="188" customWidth="1"/>
    <col min="5385" max="5385" width="11" style="188" customWidth="1"/>
    <col min="5386" max="5386" width="15.7109375" style="188" customWidth="1"/>
    <col min="5387" max="5387" width="12.5703125" style="188" customWidth="1"/>
    <col min="5388" max="5388" width="13.42578125" style="188" customWidth="1"/>
    <col min="5389" max="5389" width="12.42578125" style="188" customWidth="1"/>
    <col min="5390" max="5390" width="12.7109375" style="188" customWidth="1"/>
    <col min="5391" max="5391" width="11.42578125" style="188" customWidth="1"/>
    <col min="5392" max="5632" width="9.140625" style="188"/>
    <col min="5633" max="5633" width="12.42578125" style="188" customWidth="1"/>
    <col min="5634" max="5634" width="10.85546875" style="188" customWidth="1"/>
    <col min="5635" max="5635" width="12.42578125" style="188" customWidth="1"/>
    <col min="5636" max="5636" width="12.140625" style="188" customWidth="1"/>
    <col min="5637" max="5637" width="12.85546875" style="188" customWidth="1"/>
    <col min="5638" max="5638" width="11.140625" style="188" customWidth="1"/>
    <col min="5639" max="5639" width="10.5703125" style="188" customWidth="1"/>
    <col min="5640" max="5640" width="12.85546875" style="188" customWidth="1"/>
    <col min="5641" max="5641" width="11" style="188" customWidth="1"/>
    <col min="5642" max="5642" width="15.7109375" style="188" customWidth="1"/>
    <col min="5643" max="5643" width="12.5703125" style="188" customWidth="1"/>
    <col min="5644" max="5644" width="13.42578125" style="188" customWidth="1"/>
    <col min="5645" max="5645" width="12.42578125" style="188" customWidth="1"/>
    <col min="5646" max="5646" width="12.7109375" style="188" customWidth="1"/>
    <col min="5647" max="5647" width="11.42578125" style="188" customWidth="1"/>
    <col min="5648" max="5888" width="9.140625" style="188"/>
    <col min="5889" max="5889" width="12.42578125" style="188" customWidth="1"/>
    <col min="5890" max="5890" width="10.85546875" style="188" customWidth="1"/>
    <col min="5891" max="5891" width="12.42578125" style="188" customWidth="1"/>
    <col min="5892" max="5892" width="12.140625" style="188" customWidth="1"/>
    <col min="5893" max="5893" width="12.85546875" style="188" customWidth="1"/>
    <col min="5894" max="5894" width="11.140625" style="188" customWidth="1"/>
    <col min="5895" max="5895" width="10.5703125" style="188" customWidth="1"/>
    <col min="5896" max="5896" width="12.85546875" style="188" customWidth="1"/>
    <col min="5897" max="5897" width="11" style="188" customWidth="1"/>
    <col min="5898" max="5898" width="15.7109375" style="188" customWidth="1"/>
    <col min="5899" max="5899" width="12.5703125" style="188" customWidth="1"/>
    <col min="5900" max="5900" width="13.42578125" style="188" customWidth="1"/>
    <col min="5901" max="5901" width="12.42578125" style="188" customWidth="1"/>
    <col min="5902" max="5902" width="12.7109375" style="188" customWidth="1"/>
    <col min="5903" max="5903" width="11.42578125" style="188" customWidth="1"/>
    <col min="5904" max="6144" width="9.140625" style="188"/>
    <col min="6145" max="6145" width="12.42578125" style="188" customWidth="1"/>
    <col min="6146" max="6146" width="10.85546875" style="188" customWidth="1"/>
    <col min="6147" max="6147" width="12.42578125" style="188" customWidth="1"/>
    <col min="6148" max="6148" width="12.140625" style="188" customWidth="1"/>
    <col min="6149" max="6149" width="12.85546875" style="188" customWidth="1"/>
    <col min="6150" max="6150" width="11.140625" style="188" customWidth="1"/>
    <col min="6151" max="6151" width="10.5703125" style="188" customWidth="1"/>
    <col min="6152" max="6152" width="12.85546875" style="188" customWidth="1"/>
    <col min="6153" max="6153" width="11" style="188" customWidth="1"/>
    <col min="6154" max="6154" width="15.7109375" style="188" customWidth="1"/>
    <col min="6155" max="6155" width="12.5703125" style="188" customWidth="1"/>
    <col min="6156" max="6156" width="13.42578125" style="188" customWidth="1"/>
    <col min="6157" max="6157" width="12.42578125" style="188" customWidth="1"/>
    <col min="6158" max="6158" width="12.7109375" style="188" customWidth="1"/>
    <col min="6159" max="6159" width="11.42578125" style="188" customWidth="1"/>
    <col min="6160" max="6400" width="9.140625" style="188"/>
    <col min="6401" max="6401" width="12.42578125" style="188" customWidth="1"/>
    <col min="6402" max="6402" width="10.85546875" style="188" customWidth="1"/>
    <col min="6403" max="6403" width="12.42578125" style="188" customWidth="1"/>
    <col min="6404" max="6404" width="12.140625" style="188" customWidth="1"/>
    <col min="6405" max="6405" width="12.85546875" style="188" customWidth="1"/>
    <col min="6406" max="6406" width="11.140625" style="188" customWidth="1"/>
    <col min="6407" max="6407" width="10.5703125" style="188" customWidth="1"/>
    <col min="6408" max="6408" width="12.85546875" style="188" customWidth="1"/>
    <col min="6409" max="6409" width="11" style="188" customWidth="1"/>
    <col min="6410" max="6410" width="15.7109375" style="188" customWidth="1"/>
    <col min="6411" max="6411" width="12.5703125" style="188" customWidth="1"/>
    <col min="6412" max="6412" width="13.42578125" style="188" customWidth="1"/>
    <col min="6413" max="6413" width="12.42578125" style="188" customWidth="1"/>
    <col min="6414" max="6414" width="12.7109375" style="188" customWidth="1"/>
    <col min="6415" max="6415" width="11.42578125" style="188" customWidth="1"/>
    <col min="6416" max="6656" width="9.140625" style="188"/>
    <col min="6657" max="6657" width="12.42578125" style="188" customWidth="1"/>
    <col min="6658" max="6658" width="10.85546875" style="188" customWidth="1"/>
    <col min="6659" max="6659" width="12.42578125" style="188" customWidth="1"/>
    <col min="6660" max="6660" width="12.140625" style="188" customWidth="1"/>
    <col min="6661" max="6661" width="12.85546875" style="188" customWidth="1"/>
    <col min="6662" max="6662" width="11.140625" style="188" customWidth="1"/>
    <col min="6663" max="6663" width="10.5703125" style="188" customWidth="1"/>
    <col min="6664" max="6664" width="12.85546875" style="188" customWidth="1"/>
    <col min="6665" max="6665" width="11" style="188" customWidth="1"/>
    <col min="6666" max="6666" width="15.7109375" style="188" customWidth="1"/>
    <col min="6667" max="6667" width="12.5703125" style="188" customWidth="1"/>
    <col min="6668" max="6668" width="13.42578125" style="188" customWidth="1"/>
    <col min="6669" max="6669" width="12.42578125" style="188" customWidth="1"/>
    <col min="6670" max="6670" width="12.7109375" style="188" customWidth="1"/>
    <col min="6671" max="6671" width="11.42578125" style="188" customWidth="1"/>
    <col min="6672" max="6912" width="9.140625" style="188"/>
    <col min="6913" max="6913" width="12.42578125" style="188" customWidth="1"/>
    <col min="6914" max="6914" width="10.85546875" style="188" customWidth="1"/>
    <col min="6915" max="6915" width="12.42578125" style="188" customWidth="1"/>
    <col min="6916" max="6916" width="12.140625" style="188" customWidth="1"/>
    <col min="6917" max="6917" width="12.85546875" style="188" customWidth="1"/>
    <col min="6918" max="6918" width="11.140625" style="188" customWidth="1"/>
    <col min="6919" max="6919" width="10.5703125" style="188" customWidth="1"/>
    <col min="6920" max="6920" width="12.85546875" style="188" customWidth="1"/>
    <col min="6921" max="6921" width="11" style="188" customWidth="1"/>
    <col min="6922" max="6922" width="15.7109375" style="188" customWidth="1"/>
    <col min="6923" max="6923" width="12.5703125" style="188" customWidth="1"/>
    <col min="6924" max="6924" width="13.42578125" style="188" customWidth="1"/>
    <col min="6925" max="6925" width="12.42578125" style="188" customWidth="1"/>
    <col min="6926" max="6926" width="12.7109375" style="188" customWidth="1"/>
    <col min="6927" max="6927" width="11.42578125" style="188" customWidth="1"/>
    <col min="6928" max="7168" width="9.140625" style="188"/>
    <col min="7169" max="7169" width="12.42578125" style="188" customWidth="1"/>
    <col min="7170" max="7170" width="10.85546875" style="188" customWidth="1"/>
    <col min="7171" max="7171" width="12.42578125" style="188" customWidth="1"/>
    <col min="7172" max="7172" width="12.140625" style="188" customWidth="1"/>
    <col min="7173" max="7173" width="12.85546875" style="188" customWidth="1"/>
    <col min="7174" max="7174" width="11.140625" style="188" customWidth="1"/>
    <col min="7175" max="7175" width="10.5703125" style="188" customWidth="1"/>
    <col min="7176" max="7176" width="12.85546875" style="188" customWidth="1"/>
    <col min="7177" max="7177" width="11" style="188" customWidth="1"/>
    <col min="7178" max="7178" width="15.7109375" style="188" customWidth="1"/>
    <col min="7179" max="7179" width="12.5703125" style="188" customWidth="1"/>
    <col min="7180" max="7180" width="13.42578125" style="188" customWidth="1"/>
    <col min="7181" max="7181" width="12.42578125" style="188" customWidth="1"/>
    <col min="7182" max="7182" width="12.7109375" style="188" customWidth="1"/>
    <col min="7183" max="7183" width="11.42578125" style="188" customWidth="1"/>
    <col min="7184" max="7424" width="9.140625" style="188"/>
    <col min="7425" max="7425" width="12.42578125" style="188" customWidth="1"/>
    <col min="7426" max="7426" width="10.85546875" style="188" customWidth="1"/>
    <col min="7427" max="7427" width="12.42578125" style="188" customWidth="1"/>
    <col min="7428" max="7428" width="12.140625" style="188" customWidth="1"/>
    <col min="7429" max="7429" width="12.85546875" style="188" customWidth="1"/>
    <col min="7430" max="7430" width="11.140625" style="188" customWidth="1"/>
    <col min="7431" max="7431" width="10.5703125" style="188" customWidth="1"/>
    <col min="7432" max="7432" width="12.85546875" style="188" customWidth="1"/>
    <col min="7433" max="7433" width="11" style="188" customWidth="1"/>
    <col min="7434" max="7434" width="15.7109375" style="188" customWidth="1"/>
    <col min="7435" max="7435" width="12.5703125" style="188" customWidth="1"/>
    <col min="7436" max="7436" width="13.42578125" style="188" customWidth="1"/>
    <col min="7437" max="7437" width="12.42578125" style="188" customWidth="1"/>
    <col min="7438" max="7438" width="12.7109375" style="188" customWidth="1"/>
    <col min="7439" max="7439" width="11.42578125" style="188" customWidth="1"/>
    <col min="7440" max="7680" width="9.140625" style="188"/>
    <col min="7681" max="7681" width="12.42578125" style="188" customWidth="1"/>
    <col min="7682" max="7682" width="10.85546875" style="188" customWidth="1"/>
    <col min="7683" max="7683" width="12.42578125" style="188" customWidth="1"/>
    <col min="7684" max="7684" width="12.140625" style="188" customWidth="1"/>
    <col min="7685" max="7685" width="12.85546875" style="188" customWidth="1"/>
    <col min="7686" max="7686" width="11.140625" style="188" customWidth="1"/>
    <col min="7687" max="7687" width="10.5703125" style="188" customWidth="1"/>
    <col min="7688" max="7688" width="12.85546875" style="188" customWidth="1"/>
    <col min="7689" max="7689" width="11" style="188" customWidth="1"/>
    <col min="7690" max="7690" width="15.7109375" style="188" customWidth="1"/>
    <col min="7691" max="7691" width="12.5703125" style="188" customWidth="1"/>
    <col min="7692" max="7692" width="13.42578125" style="188" customWidth="1"/>
    <col min="7693" max="7693" width="12.42578125" style="188" customWidth="1"/>
    <col min="7694" max="7694" width="12.7109375" style="188" customWidth="1"/>
    <col min="7695" max="7695" width="11.42578125" style="188" customWidth="1"/>
    <col min="7696" max="7936" width="9.140625" style="188"/>
    <col min="7937" max="7937" width="12.42578125" style="188" customWidth="1"/>
    <col min="7938" max="7938" width="10.85546875" style="188" customWidth="1"/>
    <col min="7939" max="7939" width="12.42578125" style="188" customWidth="1"/>
    <col min="7940" max="7940" width="12.140625" style="188" customWidth="1"/>
    <col min="7941" max="7941" width="12.85546875" style="188" customWidth="1"/>
    <col min="7942" max="7942" width="11.140625" style="188" customWidth="1"/>
    <col min="7943" max="7943" width="10.5703125" style="188" customWidth="1"/>
    <col min="7944" max="7944" width="12.85546875" style="188" customWidth="1"/>
    <col min="7945" max="7945" width="11" style="188" customWidth="1"/>
    <col min="7946" max="7946" width="15.7109375" style="188" customWidth="1"/>
    <col min="7947" max="7947" width="12.5703125" style="188" customWidth="1"/>
    <col min="7948" max="7948" width="13.42578125" style="188" customWidth="1"/>
    <col min="7949" max="7949" width="12.42578125" style="188" customWidth="1"/>
    <col min="7950" max="7950" width="12.7109375" style="188" customWidth="1"/>
    <col min="7951" max="7951" width="11.42578125" style="188" customWidth="1"/>
    <col min="7952" max="8192" width="9.140625" style="188"/>
    <col min="8193" max="8193" width="12.42578125" style="188" customWidth="1"/>
    <col min="8194" max="8194" width="10.85546875" style="188" customWidth="1"/>
    <col min="8195" max="8195" width="12.42578125" style="188" customWidth="1"/>
    <col min="8196" max="8196" width="12.140625" style="188" customWidth="1"/>
    <col min="8197" max="8197" width="12.85546875" style="188" customWidth="1"/>
    <col min="8198" max="8198" width="11.140625" style="188" customWidth="1"/>
    <col min="8199" max="8199" width="10.5703125" style="188" customWidth="1"/>
    <col min="8200" max="8200" width="12.85546875" style="188" customWidth="1"/>
    <col min="8201" max="8201" width="11" style="188" customWidth="1"/>
    <col min="8202" max="8202" width="15.7109375" style="188" customWidth="1"/>
    <col min="8203" max="8203" width="12.5703125" style="188" customWidth="1"/>
    <col min="8204" max="8204" width="13.42578125" style="188" customWidth="1"/>
    <col min="8205" max="8205" width="12.42578125" style="188" customWidth="1"/>
    <col min="8206" max="8206" width="12.7109375" style="188" customWidth="1"/>
    <col min="8207" max="8207" width="11.42578125" style="188" customWidth="1"/>
    <col min="8208" max="8448" width="9.140625" style="188"/>
    <col min="8449" max="8449" width="12.42578125" style="188" customWidth="1"/>
    <col min="8450" max="8450" width="10.85546875" style="188" customWidth="1"/>
    <col min="8451" max="8451" width="12.42578125" style="188" customWidth="1"/>
    <col min="8452" max="8452" width="12.140625" style="188" customWidth="1"/>
    <col min="8453" max="8453" width="12.85546875" style="188" customWidth="1"/>
    <col min="8454" max="8454" width="11.140625" style="188" customWidth="1"/>
    <col min="8455" max="8455" width="10.5703125" style="188" customWidth="1"/>
    <col min="8456" max="8456" width="12.85546875" style="188" customWidth="1"/>
    <col min="8457" max="8457" width="11" style="188" customWidth="1"/>
    <col min="8458" max="8458" width="15.7109375" style="188" customWidth="1"/>
    <col min="8459" max="8459" width="12.5703125" style="188" customWidth="1"/>
    <col min="8460" max="8460" width="13.42578125" style="188" customWidth="1"/>
    <col min="8461" max="8461" width="12.42578125" style="188" customWidth="1"/>
    <col min="8462" max="8462" width="12.7109375" style="188" customWidth="1"/>
    <col min="8463" max="8463" width="11.42578125" style="188" customWidth="1"/>
    <col min="8464" max="8704" width="9.140625" style="188"/>
    <col min="8705" max="8705" width="12.42578125" style="188" customWidth="1"/>
    <col min="8706" max="8706" width="10.85546875" style="188" customWidth="1"/>
    <col min="8707" max="8707" width="12.42578125" style="188" customWidth="1"/>
    <col min="8708" max="8708" width="12.140625" style="188" customWidth="1"/>
    <col min="8709" max="8709" width="12.85546875" style="188" customWidth="1"/>
    <col min="8710" max="8710" width="11.140625" style="188" customWidth="1"/>
    <col min="8711" max="8711" width="10.5703125" style="188" customWidth="1"/>
    <col min="8712" max="8712" width="12.85546875" style="188" customWidth="1"/>
    <col min="8713" max="8713" width="11" style="188" customWidth="1"/>
    <col min="8714" max="8714" width="15.7109375" style="188" customWidth="1"/>
    <col min="8715" max="8715" width="12.5703125" style="188" customWidth="1"/>
    <col min="8716" max="8716" width="13.42578125" style="188" customWidth="1"/>
    <col min="8717" max="8717" width="12.42578125" style="188" customWidth="1"/>
    <col min="8718" max="8718" width="12.7109375" style="188" customWidth="1"/>
    <col min="8719" max="8719" width="11.42578125" style="188" customWidth="1"/>
    <col min="8720" max="8960" width="9.140625" style="188"/>
    <col min="8961" max="8961" width="12.42578125" style="188" customWidth="1"/>
    <col min="8962" max="8962" width="10.85546875" style="188" customWidth="1"/>
    <col min="8963" max="8963" width="12.42578125" style="188" customWidth="1"/>
    <col min="8964" max="8964" width="12.140625" style="188" customWidth="1"/>
    <col min="8965" max="8965" width="12.85546875" style="188" customWidth="1"/>
    <col min="8966" max="8966" width="11.140625" style="188" customWidth="1"/>
    <col min="8967" max="8967" width="10.5703125" style="188" customWidth="1"/>
    <col min="8968" max="8968" width="12.85546875" style="188" customWidth="1"/>
    <col min="8969" max="8969" width="11" style="188" customWidth="1"/>
    <col min="8970" max="8970" width="15.7109375" style="188" customWidth="1"/>
    <col min="8971" max="8971" width="12.5703125" style="188" customWidth="1"/>
    <col min="8972" max="8972" width="13.42578125" style="188" customWidth="1"/>
    <col min="8973" max="8973" width="12.42578125" style="188" customWidth="1"/>
    <col min="8974" max="8974" width="12.7109375" style="188" customWidth="1"/>
    <col min="8975" max="8975" width="11.42578125" style="188" customWidth="1"/>
    <col min="8976" max="9216" width="9.140625" style="188"/>
    <col min="9217" max="9217" width="12.42578125" style="188" customWidth="1"/>
    <col min="9218" max="9218" width="10.85546875" style="188" customWidth="1"/>
    <col min="9219" max="9219" width="12.42578125" style="188" customWidth="1"/>
    <col min="9220" max="9220" width="12.140625" style="188" customWidth="1"/>
    <col min="9221" max="9221" width="12.85546875" style="188" customWidth="1"/>
    <col min="9222" max="9222" width="11.140625" style="188" customWidth="1"/>
    <col min="9223" max="9223" width="10.5703125" style="188" customWidth="1"/>
    <col min="9224" max="9224" width="12.85546875" style="188" customWidth="1"/>
    <col min="9225" max="9225" width="11" style="188" customWidth="1"/>
    <col min="9226" max="9226" width="15.7109375" style="188" customWidth="1"/>
    <col min="9227" max="9227" width="12.5703125" style="188" customWidth="1"/>
    <col min="9228" max="9228" width="13.42578125" style="188" customWidth="1"/>
    <col min="9229" max="9229" width="12.42578125" style="188" customWidth="1"/>
    <col min="9230" max="9230" width="12.7109375" style="188" customWidth="1"/>
    <col min="9231" max="9231" width="11.42578125" style="188" customWidth="1"/>
    <col min="9232" max="9472" width="9.140625" style="188"/>
    <col min="9473" max="9473" width="12.42578125" style="188" customWidth="1"/>
    <col min="9474" max="9474" width="10.85546875" style="188" customWidth="1"/>
    <col min="9475" max="9475" width="12.42578125" style="188" customWidth="1"/>
    <col min="9476" max="9476" width="12.140625" style="188" customWidth="1"/>
    <col min="9477" max="9477" width="12.85546875" style="188" customWidth="1"/>
    <col min="9478" max="9478" width="11.140625" style="188" customWidth="1"/>
    <col min="9479" max="9479" width="10.5703125" style="188" customWidth="1"/>
    <col min="9480" max="9480" width="12.85546875" style="188" customWidth="1"/>
    <col min="9481" max="9481" width="11" style="188" customWidth="1"/>
    <col min="9482" max="9482" width="15.7109375" style="188" customWidth="1"/>
    <col min="9483" max="9483" width="12.5703125" style="188" customWidth="1"/>
    <col min="9484" max="9484" width="13.42578125" style="188" customWidth="1"/>
    <col min="9485" max="9485" width="12.42578125" style="188" customWidth="1"/>
    <col min="9486" max="9486" width="12.7109375" style="188" customWidth="1"/>
    <col min="9487" max="9487" width="11.42578125" style="188" customWidth="1"/>
    <col min="9488" max="9728" width="9.140625" style="188"/>
    <col min="9729" max="9729" width="12.42578125" style="188" customWidth="1"/>
    <col min="9730" max="9730" width="10.85546875" style="188" customWidth="1"/>
    <col min="9731" max="9731" width="12.42578125" style="188" customWidth="1"/>
    <col min="9732" max="9732" width="12.140625" style="188" customWidth="1"/>
    <col min="9733" max="9733" width="12.85546875" style="188" customWidth="1"/>
    <col min="9734" max="9734" width="11.140625" style="188" customWidth="1"/>
    <col min="9735" max="9735" width="10.5703125" style="188" customWidth="1"/>
    <col min="9736" max="9736" width="12.85546875" style="188" customWidth="1"/>
    <col min="9737" max="9737" width="11" style="188" customWidth="1"/>
    <col min="9738" max="9738" width="15.7109375" style="188" customWidth="1"/>
    <col min="9739" max="9739" width="12.5703125" style="188" customWidth="1"/>
    <col min="9740" max="9740" width="13.42578125" style="188" customWidth="1"/>
    <col min="9741" max="9741" width="12.42578125" style="188" customWidth="1"/>
    <col min="9742" max="9742" width="12.7109375" style="188" customWidth="1"/>
    <col min="9743" max="9743" width="11.42578125" style="188" customWidth="1"/>
    <col min="9744" max="9984" width="9.140625" style="188"/>
    <col min="9985" max="9985" width="12.42578125" style="188" customWidth="1"/>
    <col min="9986" max="9986" width="10.85546875" style="188" customWidth="1"/>
    <col min="9987" max="9987" width="12.42578125" style="188" customWidth="1"/>
    <col min="9988" max="9988" width="12.140625" style="188" customWidth="1"/>
    <col min="9989" max="9989" width="12.85546875" style="188" customWidth="1"/>
    <col min="9990" max="9990" width="11.140625" style="188" customWidth="1"/>
    <col min="9991" max="9991" width="10.5703125" style="188" customWidth="1"/>
    <col min="9992" max="9992" width="12.85546875" style="188" customWidth="1"/>
    <col min="9993" max="9993" width="11" style="188" customWidth="1"/>
    <col min="9994" max="9994" width="15.7109375" style="188" customWidth="1"/>
    <col min="9995" max="9995" width="12.5703125" style="188" customWidth="1"/>
    <col min="9996" max="9996" width="13.42578125" style="188" customWidth="1"/>
    <col min="9997" max="9997" width="12.42578125" style="188" customWidth="1"/>
    <col min="9998" max="9998" width="12.7109375" style="188" customWidth="1"/>
    <col min="9999" max="9999" width="11.42578125" style="188" customWidth="1"/>
    <col min="10000" max="10240" width="9.140625" style="188"/>
    <col min="10241" max="10241" width="12.42578125" style="188" customWidth="1"/>
    <col min="10242" max="10242" width="10.85546875" style="188" customWidth="1"/>
    <col min="10243" max="10243" width="12.42578125" style="188" customWidth="1"/>
    <col min="10244" max="10244" width="12.140625" style="188" customWidth="1"/>
    <col min="10245" max="10245" width="12.85546875" style="188" customWidth="1"/>
    <col min="10246" max="10246" width="11.140625" style="188" customWidth="1"/>
    <col min="10247" max="10247" width="10.5703125" style="188" customWidth="1"/>
    <col min="10248" max="10248" width="12.85546875" style="188" customWidth="1"/>
    <col min="10249" max="10249" width="11" style="188" customWidth="1"/>
    <col min="10250" max="10250" width="15.7109375" style="188" customWidth="1"/>
    <col min="10251" max="10251" width="12.5703125" style="188" customWidth="1"/>
    <col min="10252" max="10252" width="13.42578125" style="188" customWidth="1"/>
    <col min="10253" max="10253" width="12.42578125" style="188" customWidth="1"/>
    <col min="10254" max="10254" width="12.7109375" style="188" customWidth="1"/>
    <col min="10255" max="10255" width="11.42578125" style="188" customWidth="1"/>
    <col min="10256" max="10496" width="9.140625" style="188"/>
    <col min="10497" max="10497" width="12.42578125" style="188" customWidth="1"/>
    <col min="10498" max="10498" width="10.85546875" style="188" customWidth="1"/>
    <col min="10499" max="10499" width="12.42578125" style="188" customWidth="1"/>
    <col min="10500" max="10500" width="12.140625" style="188" customWidth="1"/>
    <col min="10501" max="10501" width="12.85546875" style="188" customWidth="1"/>
    <col min="10502" max="10502" width="11.140625" style="188" customWidth="1"/>
    <col min="10503" max="10503" width="10.5703125" style="188" customWidth="1"/>
    <col min="10504" max="10504" width="12.85546875" style="188" customWidth="1"/>
    <col min="10505" max="10505" width="11" style="188" customWidth="1"/>
    <col min="10506" max="10506" width="15.7109375" style="188" customWidth="1"/>
    <col min="10507" max="10507" width="12.5703125" style="188" customWidth="1"/>
    <col min="10508" max="10508" width="13.42578125" style="188" customWidth="1"/>
    <col min="10509" max="10509" width="12.42578125" style="188" customWidth="1"/>
    <col min="10510" max="10510" width="12.7109375" style="188" customWidth="1"/>
    <col min="10511" max="10511" width="11.42578125" style="188" customWidth="1"/>
    <col min="10512" max="10752" width="9.140625" style="188"/>
    <col min="10753" max="10753" width="12.42578125" style="188" customWidth="1"/>
    <col min="10754" max="10754" width="10.85546875" style="188" customWidth="1"/>
    <col min="10755" max="10755" width="12.42578125" style="188" customWidth="1"/>
    <col min="10756" max="10756" width="12.140625" style="188" customWidth="1"/>
    <col min="10757" max="10757" width="12.85546875" style="188" customWidth="1"/>
    <col min="10758" max="10758" width="11.140625" style="188" customWidth="1"/>
    <col min="10759" max="10759" width="10.5703125" style="188" customWidth="1"/>
    <col min="10760" max="10760" width="12.85546875" style="188" customWidth="1"/>
    <col min="10761" max="10761" width="11" style="188" customWidth="1"/>
    <col min="10762" max="10762" width="15.7109375" style="188" customWidth="1"/>
    <col min="10763" max="10763" width="12.5703125" style="188" customWidth="1"/>
    <col min="10764" max="10764" width="13.42578125" style="188" customWidth="1"/>
    <col min="10765" max="10765" width="12.42578125" style="188" customWidth="1"/>
    <col min="10766" max="10766" width="12.7109375" style="188" customWidth="1"/>
    <col min="10767" max="10767" width="11.42578125" style="188" customWidth="1"/>
    <col min="10768" max="11008" width="9.140625" style="188"/>
    <col min="11009" max="11009" width="12.42578125" style="188" customWidth="1"/>
    <col min="11010" max="11010" width="10.85546875" style="188" customWidth="1"/>
    <col min="11011" max="11011" width="12.42578125" style="188" customWidth="1"/>
    <col min="11012" max="11012" width="12.140625" style="188" customWidth="1"/>
    <col min="11013" max="11013" width="12.85546875" style="188" customWidth="1"/>
    <col min="11014" max="11014" width="11.140625" style="188" customWidth="1"/>
    <col min="11015" max="11015" width="10.5703125" style="188" customWidth="1"/>
    <col min="11016" max="11016" width="12.85546875" style="188" customWidth="1"/>
    <col min="11017" max="11017" width="11" style="188" customWidth="1"/>
    <col min="11018" max="11018" width="15.7109375" style="188" customWidth="1"/>
    <col min="11019" max="11019" width="12.5703125" style="188" customWidth="1"/>
    <col min="11020" max="11020" width="13.42578125" style="188" customWidth="1"/>
    <col min="11021" max="11021" width="12.42578125" style="188" customWidth="1"/>
    <col min="11022" max="11022" width="12.7109375" style="188" customWidth="1"/>
    <col min="11023" max="11023" width="11.42578125" style="188" customWidth="1"/>
    <col min="11024" max="11264" width="9.140625" style="188"/>
    <col min="11265" max="11265" width="12.42578125" style="188" customWidth="1"/>
    <col min="11266" max="11266" width="10.85546875" style="188" customWidth="1"/>
    <col min="11267" max="11267" width="12.42578125" style="188" customWidth="1"/>
    <col min="11268" max="11268" width="12.140625" style="188" customWidth="1"/>
    <col min="11269" max="11269" width="12.85546875" style="188" customWidth="1"/>
    <col min="11270" max="11270" width="11.140625" style="188" customWidth="1"/>
    <col min="11271" max="11271" width="10.5703125" style="188" customWidth="1"/>
    <col min="11272" max="11272" width="12.85546875" style="188" customWidth="1"/>
    <col min="11273" max="11273" width="11" style="188" customWidth="1"/>
    <col min="11274" max="11274" width="15.7109375" style="188" customWidth="1"/>
    <col min="11275" max="11275" width="12.5703125" style="188" customWidth="1"/>
    <col min="11276" max="11276" width="13.42578125" style="188" customWidth="1"/>
    <col min="11277" max="11277" width="12.42578125" style="188" customWidth="1"/>
    <col min="11278" max="11278" width="12.7109375" style="188" customWidth="1"/>
    <col min="11279" max="11279" width="11.42578125" style="188" customWidth="1"/>
    <col min="11280" max="11520" width="9.140625" style="188"/>
    <col min="11521" max="11521" width="12.42578125" style="188" customWidth="1"/>
    <col min="11522" max="11522" width="10.85546875" style="188" customWidth="1"/>
    <col min="11523" max="11523" width="12.42578125" style="188" customWidth="1"/>
    <col min="11524" max="11524" width="12.140625" style="188" customWidth="1"/>
    <col min="11525" max="11525" width="12.85546875" style="188" customWidth="1"/>
    <col min="11526" max="11526" width="11.140625" style="188" customWidth="1"/>
    <col min="11527" max="11527" width="10.5703125" style="188" customWidth="1"/>
    <col min="11528" max="11528" width="12.85546875" style="188" customWidth="1"/>
    <col min="11529" max="11529" width="11" style="188" customWidth="1"/>
    <col min="11530" max="11530" width="15.7109375" style="188" customWidth="1"/>
    <col min="11531" max="11531" width="12.5703125" style="188" customWidth="1"/>
    <col min="11532" max="11532" width="13.42578125" style="188" customWidth="1"/>
    <col min="11533" max="11533" width="12.42578125" style="188" customWidth="1"/>
    <col min="11534" max="11534" width="12.7109375" style="188" customWidth="1"/>
    <col min="11535" max="11535" width="11.42578125" style="188" customWidth="1"/>
    <col min="11536" max="11776" width="9.140625" style="188"/>
    <col min="11777" max="11777" width="12.42578125" style="188" customWidth="1"/>
    <col min="11778" max="11778" width="10.85546875" style="188" customWidth="1"/>
    <col min="11779" max="11779" width="12.42578125" style="188" customWidth="1"/>
    <col min="11780" max="11780" width="12.140625" style="188" customWidth="1"/>
    <col min="11781" max="11781" width="12.85546875" style="188" customWidth="1"/>
    <col min="11782" max="11782" width="11.140625" style="188" customWidth="1"/>
    <col min="11783" max="11783" width="10.5703125" style="188" customWidth="1"/>
    <col min="11784" max="11784" width="12.85546875" style="188" customWidth="1"/>
    <col min="11785" max="11785" width="11" style="188" customWidth="1"/>
    <col min="11786" max="11786" width="15.7109375" style="188" customWidth="1"/>
    <col min="11787" max="11787" width="12.5703125" style="188" customWidth="1"/>
    <col min="11788" max="11788" width="13.42578125" style="188" customWidth="1"/>
    <col min="11789" max="11789" width="12.42578125" style="188" customWidth="1"/>
    <col min="11790" max="11790" width="12.7109375" style="188" customWidth="1"/>
    <col min="11791" max="11791" width="11.42578125" style="188" customWidth="1"/>
    <col min="11792" max="12032" width="9.140625" style="188"/>
    <col min="12033" max="12033" width="12.42578125" style="188" customWidth="1"/>
    <col min="12034" max="12034" width="10.85546875" style="188" customWidth="1"/>
    <col min="12035" max="12035" width="12.42578125" style="188" customWidth="1"/>
    <col min="12036" max="12036" width="12.140625" style="188" customWidth="1"/>
    <col min="12037" max="12037" width="12.85546875" style="188" customWidth="1"/>
    <col min="12038" max="12038" width="11.140625" style="188" customWidth="1"/>
    <col min="12039" max="12039" width="10.5703125" style="188" customWidth="1"/>
    <col min="12040" max="12040" width="12.85546875" style="188" customWidth="1"/>
    <col min="12041" max="12041" width="11" style="188" customWidth="1"/>
    <col min="12042" max="12042" width="15.7109375" style="188" customWidth="1"/>
    <col min="12043" max="12043" width="12.5703125" style="188" customWidth="1"/>
    <col min="12044" max="12044" width="13.42578125" style="188" customWidth="1"/>
    <col min="12045" max="12045" width="12.42578125" style="188" customWidth="1"/>
    <col min="12046" max="12046" width="12.7109375" style="188" customWidth="1"/>
    <col min="12047" max="12047" width="11.42578125" style="188" customWidth="1"/>
    <col min="12048" max="12288" width="9.140625" style="188"/>
    <col min="12289" max="12289" width="12.42578125" style="188" customWidth="1"/>
    <col min="12290" max="12290" width="10.85546875" style="188" customWidth="1"/>
    <col min="12291" max="12291" width="12.42578125" style="188" customWidth="1"/>
    <col min="12292" max="12292" width="12.140625" style="188" customWidth="1"/>
    <col min="12293" max="12293" width="12.85546875" style="188" customWidth="1"/>
    <col min="12294" max="12294" width="11.140625" style="188" customWidth="1"/>
    <col min="12295" max="12295" width="10.5703125" style="188" customWidth="1"/>
    <col min="12296" max="12296" width="12.85546875" style="188" customWidth="1"/>
    <col min="12297" max="12297" width="11" style="188" customWidth="1"/>
    <col min="12298" max="12298" width="15.7109375" style="188" customWidth="1"/>
    <col min="12299" max="12299" width="12.5703125" style="188" customWidth="1"/>
    <col min="12300" max="12300" width="13.42578125" style="188" customWidth="1"/>
    <col min="12301" max="12301" width="12.42578125" style="188" customWidth="1"/>
    <col min="12302" max="12302" width="12.7109375" style="188" customWidth="1"/>
    <col min="12303" max="12303" width="11.42578125" style="188" customWidth="1"/>
    <col min="12304" max="12544" width="9.140625" style="188"/>
    <col min="12545" max="12545" width="12.42578125" style="188" customWidth="1"/>
    <col min="12546" max="12546" width="10.85546875" style="188" customWidth="1"/>
    <col min="12547" max="12547" width="12.42578125" style="188" customWidth="1"/>
    <col min="12548" max="12548" width="12.140625" style="188" customWidth="1"/>
    <col min="12549" max="12549" width="12.85546875" style="188" customWidth="1"/>
    <col min="12550" max="12550" width="11.140625" style="188" customWidth="1"/>
    <col min="12551" max="12551" width="10.5703125" style="188" customWidth="1"/>
    <col min="12552" max="12552" width="12.85546875" style="188" customWidth="1"/>
    <col min="12553" max="12553" width="11" style="188" customWidth="1"/>
    <col min="12554" max="12554" width="15.7109375" style="188" customWidth="1"/>
    <col min="12555" max="12555" width="12.5703125" style="188" customWidth="1"/>
    <col min="12556" max="12556" width="13.42578125" style="188" customWidth="1"/>
    <col min="12557" max="12557" width="12.42578125" style="188" customWidth="1"/>
    <col min="12558" max="12558" width="12.7109375" style="188" customWidth="1"/>
    <col min="12559" max="12559" width="11.42578125" style="188" customWidth="1"/>
    <col min="12560" max="12800" width="9.140625" style="188"/>
    <col min="12801" max="12801" width="12.42578125" style="188" customWidth="1"/>
    <col min="12802" max="12802" width="10.85546875" style="188" customWidth="1"/>
    <col min="12803" max="12803" width="12.42578125" style="188" customWidth="1"/>
    <col min="12804" max="12804" width="12.140625" style="188" customWidth="1"/>
    <col min="12805" max="12805" width="12.85546875" style="188" customWidth="1"/>
    <col min="12806" max="12806" width="11.140625" style="188" customWidth="1"/>
    <col min="12807" max="12807" width="10.5703125" style="188" customWidth="1"/>
    <col min="12808" max="12808" width="12.85546875" style="188" customWidth="1"/>
    <col min="12809" max="12809" width="11" style="188" customWidth="1"/>
    <col min="12810" max="12810" width="15.7109375" style="188" customWidth="1"/>
    <col min="12811" max="12811" width="12.5703125" style="188" customWidth="1"/>
    <col min="12812" max="12812" width="13.42578125" style="188" customWidth="1"/>
    <col min="12813" max="12813" width="12.42578125" style="188" customWidth="1"/>
    <col min="12814" max="12814" width="12.7109375" style="188" customWidth="1"/>
    <col min="12815" max="12815" width="11.42578125" style="188" customWidth="1"/>
    <col min="12816" max="13056" width="9.140625" style="188"/>
    <col min="13057" max="13057" width="12.42578125" style="188" customWidth="1"/>
    <col min="13058" max="13058" width="10.85546875" style="188" customWidth="1"/>
    <col min="13059" max="13059" width="12.42578125" style="188" customWidth="1"/>
    <col min="13060" max="13060" width="12.140625" style="188" customWidth="1"/>
    <col min="13061" max="13061" width="12.85546875" style="188" customWidth="1"/>
    <col min="13062" max="13062" width="11.140625" style="188" customWidth="1"/>
    <col min="13063" max="13063" width="10.5703125" style="188" customWidth="1"/>
    <col min="13064" max="13064" width="12.85546875" style="188" customWidth="1"/>
    <col min="13065" max="13065" width="11" style="188" customWidth="1"/>
    <col min="13066" max="13066" width="15.7109375" style="188" customWidth="1"/>
    <col min="13067" max="13067" width="12.5703125" style="188" customWidth="1"/>
    <col min="13068" max="13068" width="13.42578125" style="188" customWidth="1"/>
    <col min="13069" max="13069" width="12.42578125" style="188" customWidth="1"/>
    <col min="13070" max="13070" width="12.7109375" style="188" customWidth="1"/>
    <col min="13071" max="13071" width="11.42578125" style="188" customWidth="1"/>
    <col min="13072" max="13312" width="9.140625" style="188"/>
    <col min="13313" max="13313" width="12.42578125" style="188" customWidth="1"/>
    <col min="13314" max="13314" width="10.85546875" style="188" customWidth="1"/>
    <col min="13315" max="13315" width="12.42578125" style="188" customWidth="1"/>
    <col min="13316" max="13316" width="12.140625" style="188" customWidth="1"/>
    <col min="13317" max="13317" width="12.85546875" style="188" customWidth="1"/>
    <col min="13318" max="13318" width="11.140625" style="188" customWidth="1"/>
    <col min="13319" max="13319" width="10.5703125" style="188" customWidth="1"/>
    <col min="13320" max="13320" width="12.85546875" style="188" customWidth="1"/>
    <col min="13321" max="13321" width="11" style="188" customWidth="1"/>
    <col min="13322" max="13322" width="15.7109375" style="188" customWidth="1"/>
    <col min="13323" max="13323" width="12.5703125" style="188" customWidth="1"/>
    <col min="13324" max="13324" width="13.42578125" style="188" customWidth="1"/>
    <col min="13325" max="13325" width="12.42578125" style="188" customWidth="1"/>
    <col min="13326" max="13326" width="12.7109375" style="188" customWidth="1"/>
    <col min="13327" max="13327" width="11.42578125" style="188" customWidth="1"/>
    <col min="13328" max="13568" width="9.140625" style="188"/>
    <col min="13569" max="13569" width="12.42578125" style="188" customWidth="1"/>
    <col min="13570" max="13570" width="10.85546875" style="188" customWidth="1"/>
    <col min="13571" max="13571" width="12.42578125" style="188" customWidth="1"/>
    <col min="13572" max="13572" width="12.140625" style="188" customWidth="1"/>
    <col min="13573" max="13573" width="12.85546875" style="188" customWidth="1"/>
    <col min="13574" max="13574" width="11.140625" style="188" customWidth="1"/>
    <col min="13575" max="13575" width="10.5703125" style="188" customWidth="1"/>
    <col min="13576" max="13576" width="12.85546875" style="188" customWidth="1"/>
    <col min="13577" max="13577" width="11" style="188" customWidth="1"/>
    <col min="13578" max="13578" width="15.7109375" style="188" customWidth="1"/>
    <col min="13579" max="13579" width="12.5703125" style="188" customWidth="1"/>
    <col min="13580" max="13580" width="13.42578125" style="188" customWidth="1"/>
    <col min="13581" max="13581" width="12.42578125" style="188" customWidth="1"/>
    <col min="13582" max="13582" width="12.7109375" style="188" customWidth="1"/>
    <col min="13583" max="13583" width="11.42578125" style="188" customWidth="1"/>
    <col min="13584" max="13824" width="9.140625" style="188"/>
    <col min="13825" max="13825" width="12.42578125" style="188" customWidth="1"/>
    <col min="13826" max="13826" width="10.85546875" style="188" customWidth="1"/>
    <col min="13827" max="13827" width="12.42578125" style="188" customWidth="1"/>
    <col min="13828" max="13828" width="12.140625" style="188" customWidth="1"/>
    <col min="13829" max="13829" width="12.85546875" style="188" customWidth="1"/>
    <col min="13830" max="13830" width="11.140625" style="188" customWidth="1"/>
    <col min="13831" max="13831" width="10.5703125" style="188" customWidth="1"/>
    <col min="13832" max="13832" width="12.85546875" style="188" customWidth="1"/>
    <col min="13833" max="13833" width="11" style="188" customWidth="1"/>
    <col min="13834" max="13834" width="15.7109375" style="188" customWidth="1"/>
    <col min="13835" max="13835" width="12.5703125" style="188" customWidth="1"/>
    <col min="13836" max="13836" width="13.42578125" style="188" customWidth="1"/>
    <col min="13837" max="13837" width="12.42578125" style="188" customWidth="1"/>
    <col min="13838" max="13838" width="12.7109375" style="188" customWidth="1"/>
    <col min="13839" max="13839" width="11.42578125" style="188" customWidth="1"/>
    <col min="13840" max="14080" width="9.140625" style="188"/>
    <col min="14081" max="14081" width="12.42578125" style="188" customWidth="1"/>
    <col min="14082" max="14082" width="10.85546875" style="188" customWidth="1"/>
    <col min="14083" max="14083" width="12.42578125" style="188" customWidth="1"/>
    <col min="14084" max="14084" width="12.140625" style="188" customWidth="1"/>
    <col min="14085" max="14085" width="12.85546875" style="188" customWidth="1"/>
    <col min="14086" max="14086" width="11.140625" style="188" customWidth="1"/>
    <col min="14087" max="14087" width="10.5703125" style="188" customWidth="1"/>
    <col min="14088" max="14088" width="12.85546875" style="188" customWidth="1"/>
    <col min="14089" max="14089" width="11" style="188" customWidth="1"/>
    <col min="14090" max="14090" width="15.7109375" style="188" customWidth="1"/>
    <col min="14091" max="14091" width="12.5703125" style="188" customWidth="1"/>
    <col min="14092" max="14092" width="13.42578125" style="188" customWidth="1"/>
    <col min="14093" max="14093" width="12.42578125" style="188" customWidth="1"/>
    <col min="14094" max="14094" width="12.7109375" style="188" customWidth="1"/>
    <col min="14095" max="14095" width="11.42578125" style="188" customWidth="1"/>
    <col min="14096" max="14336" width="9.140625" style="188"/>
    <col min="14337" max="14337" width="12.42578125" style="188" customWidth="1"/>
    <col min="14338" max="14338" width="10.85546875" style="188" customWidth="1"/>
    <col min="14339" max="14339" width="12.42578125" style="188" customWidth="1"/>
    <col min="14340" max="14340" width="12.140625" style="188" customWidth="1"/>
    <col min="14341" max="14341" width="12.85546875" style="188" customWidth="1"/>
    <col min="14342" max="14342" width="11.140625" style="188" customWidth="1"/>
    <col min="14343" max="14343" width="10.5703125" style="188" customWidth="1"/>
    <col min="14344" max="14344" width="12.85546875" style="188" customWidth="1"/>
    <col min="14345" max="14345" width="11" style="188" customWidth="1"/>
    <col min="14346" max="14346" width="15.7109375" style="188" customWidth="1"/>
    <col min="14347" max="14347" width="12.5703125" style="188" customWidth="1"/>
    <col min="14348" max="14348" width="13.42578125" style="188" customWidth="1"/>
    <col min="14349" max="14349" width="12.42578125" style="188" customWidth="1"/>
    <col min="14350" max="14350" width="12.7109375" style="188" customWidth="1"/>
    <col min="14351" max="14351" width="11.42578125" style="188" customWidth="1"/>
    <col min="14352" max="14592" width="9.140625" style="188"/>
    <col min="14593" max="14593" width="12.42578125" style="188" customWidth="1"/>
    <col min="14594" max="14594" width="10.85546875" style="188" customWidth="1"/>
    <col min="14595" max="14595" width="12.42578125" style="188" customWidth="1"/>
    <col min="14596" max="14596" width="12.140625" style="188" customWidth="1"/>
    <col min="14597" max="14597" width="12.85546875" style="188" customWidth="1"/>
    <col min="14598" max="14598" width="11.140625" style="188" customWidth="1"/>
    <col min="14599" max="14599" width="10.5703125" style="188" customWidth="1"/>
    <col min="14600" max="14600" width="12.85546875" style="188" customWidth="1"/>
    <col min="14601" max="14601" width="11" style="188" customWidth="1"/>
    <col min="14602" max="14602" width="15.7109375" style="188" customWidth="1"/>
    <col min="14603" max="14603" width="12.5703125" style="188" customWidth="1"/>
    <col min="14604" max="14604" width="13.42578125" style="188" customWidth="1"/>
    <col min="14605" max="14605" width="12.42578125" style="188" customWidth="1"/>
    <col min="14606" max="14606" width="12.7109375" style="188" customWidth="1"/>
    <col min="14607" max="14607" width="11.42578125" style="188" customWidth="1"/>
    <col min="14608" max="14848" width="9.140625" style="188"/>
    <col min="14849" max="14849" width="12.42578125" style="188" customWidth="1"/>
    <col min="14850" max="14850" width="10.85546875" style="188" customWidth="1"/>
    <col min="14851" max="14851" width="12.42578125" style="188" customWidth="1"/>
    <col min="14852" max="14852" width="12.140625" style="188" customWidth="1"/>
    <col min="14853" max="14853" width="12.85546875" style="188" customWidth="1"/>
    <col min="14854" max="14854" width="11.140625" style="188" customWidth="1"/>
    <col min="14855" max="14855" width="10.5703125" style="188" customWidth="1"/>
    <col min="14856" max="14856" width="12.85546875" style="188" customWidth="1"/>
    <col min="14857" max="14857" width="11" style="188" customWidth="1"/>
    <col min="14858" max="14858" width="15.7109375" style="188" customWidth="1"/>
    <col min="14859" max="14859" width="12.5703125" style="188" customWidth="1"/>
    <col min="14860" max="14860" width="13.42578125" style="188" customWidth="1"/>
    <col min="14861" max="14861" width="12.42578125" style="188" customWidth="1"/>
    <col min="14862" max="14862" width="12.7109375" style="188" customWidth="1"/>
    <col min="14863" max="14863" width="11.42578125" style="188" customWidth="1"/>
    <col min="14864" max="15104" width="9.140625" style="188"/>
    <col min="15105" max="15105" width="12.42578125" style="188" customWidth="1"/>
    <col min="15106" max="15106" width="10.85546875" style="188" customWidth="1"/>
    <col min="15107" max="15107" width="12.42578125" style="188" customWidth="1"/>
    <col min="15108" max="15108" width="12.140625" style="188" customWidth="1"/>
    <col min="15109" max="15109" width="12.85546875" style="188" customWidth="1"/>
    <col min="15110" max="15110" width="11.140625" style="188" customWidth="1"/>
    <col min="15111" max="15111" width="10.5703125" style="188" customWidth="1"/>
    <col min="15112" max="15112" width="12.85546875" style="188" customWidth="1"/>
    <col min="15113" max="15113" width="11" style="188" customWidth="1"/>
    <col min="15114" max="15114" width="15.7109375" style="188" customWidth="1"/>
    <col min="15115" max="15115" width="12.5703125" style="188" customWidth="1"/>
    <col min="15116" max="15116" width="13.42578125" style="188" customWidth="1"/>
    <col min="15117" max="15117" width="12.42578125" style="188" customWidth="1"/>
    <col min="15118" max="15118" width="12.7109375" style="188" customWidth="1"/>
    <col min="15119" max="15119" width="11.42578125" style="188" customWidth="1"/>
    <col min="15120" max="15360" width="9.140625" style="188"/>
    <col min="15361" max="15361" width="12.42578125" style="188" customWidth="1"/>
    <col min="15362" max="15362" width="10.85546875" style="188" customWidth="1"/>
    <col min="15363" max="15363" width="12.42578125" style="188" customWidth="1"/>
    <col min="15364" max="15364" width="12.140625" style="188" customWidth="1"/>
    <col min="15365" max="15365" width="12.85546875" style="188" customWidth="1"/>
    <col min="15366" max="15366" width="11.140625" style="188" customWidth="1"/>
    <col min="15367" max="15367" width="10.5703125" style="188" customWidth="1"/>
    <col min="15368" max="15368" width="12.85546875" style="188" customWidth="1"/>
    <col min="15369" max="15369" width="11" style="188" customWidth="1"/>
    <col min="15370" max="15370" width="15.7109375" style="188" customWidth="1"/>
    <col min="15371" max="15371" width="12.5703125" style="188" customWidth="1"/>
    <col min="15372" max="15372" width="13.42578125" style="188" customWidth="1"/>
    <col min="15373" max="15373" width="12.42578125" style="188" customWidth="1"/>
    <col min="15374" max="15374" width="12.7109375" style="188" customWidth="1"/>
    <col min="15375" max="15375" width="11.42578125" style="188" customWidth="1"/>
    <col min="15376" max="15616" width="9.140625" style="188"/>
    <col min="15617" max="15617" width="12.42578125" style="188" customWidth="1"/>
    <col min="15618" max="15618" width="10.85546875" style="188" customWidth="1"/>
    <col min="15619" max="15619" width="12.42578125" style="188" customWidth="1"/>
    <col min="15620" max="15620" width="12.140625" style="188" customWidth="1"/>
    <col min="15621" max="15621" width="12.85546875" style="188" customWidth="1"/>
    <col min="15622" max="15622" width="11.140625" style="188" customWidth="1"/>
    <col min="15623" max="15623" width="10.5703125" style="188" customWidth="1"/>
    <col min="15624" max="15624" width="12.85546875" style="188" customWidth="1"/>
    <col min="15625" max="15625" width="11" style="188" customWidth="1"/>
    <col min="15626" max="15626" width="15.7109375" style="188" customWidth="1"/>
    <col min="15627" max="15627" width="12.5703125" style="188" customWidth="1"/>
    <col min="15628" max="15628" width="13.42578125" style="188" customWidth="1"/>
    <col min="15629" max="15629" width="12.42578125" style="188" customWidth="1"/>
    <col min="15630" max="15630" width="12.7109375" style="188" customWidth="1"/>
    <col min="15631" max="15631" width="11.42578125" style="188" customWidth="1"/>
    <col min="15632" max="15872" width="9.140625" style="188"/>
    <col min="15873" max="15873" width="12.42578125" style="188" customWidth="1"/>
    <col min="15874" max="15874" width="10.85546875" style="188" customWidth="1"/>
    <col min="15875" max="15875" width="12.42578125" style="188" customWidth="1"/>
    <col min="15876" max="15876" width="12.140625" style="188" customWidth="1"/>
    <col min="15877" max="15877" width="12.85546875" style="188" customWidth="1"/>
    <col min="15878" max="15878" width="11.140625" style="188" customWidth="1"/>
    <col min="15879" max="15879" width="10.5703125" style="188" customWidth="1"/>
    <col min="15880" max="15880" width="12.85546875" style="188" customWidth="1"/>
    <col min="15881" max="15881" width="11" style="188" customWidth="1"/>
    <col min="15882" max="15882" width="15.7109375" style="188" customWidth="1"/>
    <col min="15883" max="15883" width="12.5703125" style="188" customWidth="1"/>
    <col min="15884" max="15884" width="13.42578125" style="188" customWidth="1"/>
    <col min="15885" max="15885" width="12.42578125" style="188" customWidth="1"/>
    <col min="15886" max="15886" width="12.7109375" style="188" customWidth="1"/>
    <col min="15887" max="15887" width="11.42578125" style="188" customWidth="1"/>
    <col min="15888" max="16128" width="9.140625" style="188"/>
    <col min="16129" max="16129" width="12.42578125" style="188" customWidth="1"/>
    <col min="16130" max="16130" width="10.85546875" style="188" customWidth="1"/>
    <col min="16131" max="16131" width="12.42578125" style="188" customWidth="1"/>
    <col min="16132" max="16132" width="12.140625" style="188" customWidth="1"/>
    <col min="16133" max="16133" width="12.85546875" style="188" customWidth="1"/>
    <col min="16134" max="16134" width="11.140625" style="188" customWidth="1"/>
    <col min="16135" max="16135" width="10.5703125" style="188" customWidth="1"/>
    <col min="16136" max="16136" width="12.85546875" style="188" customWidth="1"/>
    <col min="16137" max="16137" width="11" style="188" customWidth="1"/>
    <col min="16138" max="16138" width="15.7109375" style="188" customWidth="1"/>
    <col min="16139" max="16139" width="12.5703125" style="188" customWidth="1"/>
    <col min="16140" max="16140" width="13.42578125" style="188" customWidth="1"/>
    <col min="16141" max="16141" width="12.42578125" style="188" customWidth="1"/>
    <col min="16142" max="16142" width="12.7109375" style="188" customWidth="1"/>
    <col min="16143" max="16143" width="11.42578125" style="188" customWidth="1"/>
    <col min="16144" max="16384" width="9.140625" style="188"/>
  </cols>
  <sheetData>
    <row r="1" spans="1:16" s="172" customFormat="1" ht="18" x14ac:dyDescent="0.35">
      <c r="A1" s="449" t="s">
        <v>238</v>
      </c>
      <c r="B1" s="449"/>
      <c r="C1" s="449"/>
      <c r="D1" s="449"/>
      <c r="E1" s="449"/>
      <c r="F1" s="449"/>
      <c r="G1" s="449"/>
      <c r="H1" s="449"/>
      <c r="I1" s="449"/>
      <c r="J1" s="449"/>
      <c r="K1" s="449"/>
      <c r="L1" s="449"/>
      <c r="M1" s="449"/>
      <c r="N1" s="449"/>
      <c r="O1" s="449"/>
    </row>
    <row r="2" spans="1:16" s="172" customFormat="1" ht="18" x14ac:dyDescent="0.35">
      <c r="A2" s="449" t="s">
        <v>3</v>
      </c>
      <c r="B2" s="449"/>
      <c r="C2" s="449"/>
      <c r="D2" s="449"/>
      <c r="E2" s="449"/>
      <c r="F2" s="449"/>
      <c r="G2" s="449"/>
      <c r="H2" s="449"/>
      <c r="I2" s="449"/>
      <c r="J2" s="449"/>
      <c r="K2" s="449"/>
      <c r="L2" s="449"/>
      <c r="M2" s="449"/>
      <c r="N2" s="449"/>
      <c r="O2" s="449"/>
    </row>
    <row r="3" spans="1:16" s="172" customFormat="1" ht="18" x14ac:dyDescent="0.35">
      <c r="A3" s="449" t="s">
        <v>239</v>
      </c>
      <c r="B3" s="449"/>
      <c r="C3" s="449"/>
      <c r="D3" s="449"/>
      <c r="E3" s="449"/>
      <c r="F3" s="449"/>
      <c r="G3" s="449"/>
      <c r="H3" s="449"/>
      <c r="I3" s="449"/>
      <c r="J3" s="449"/>
      <c r="K3" s="449"/>
      <c r="L3" s="449"/>
      <c r="M3" s="449"/>
      <c r="N3" s="449"/>
      <c r="O3" s="449"/>
    </row>
    <row r="4" spans="1:16" s="172" customFormat="1" ht="18" x14ac:dyDescent="0.35">
      <c r="A4" s="449" t="s">
        <v>240</v>
      </c>
      <c r="B4" s="449"/>
      <c r="C4" s="449"/>
      <c r="D4" s="449"/>
      <c r="E4" s="449"/>
      <c r="F4" s="449"/>
      <c r="G4" s="449"/>
      <c r="H4" s="449"/>
      <c r="I4" s="449"/>
      <c r="J4" s="449"/>
      <c r="K4" s="449"/>
      <c r="L4" s="449"/>
      <c r="M4" s="449"/>
      <c r="N4" s="449"/>
      <c r="O4" s="449"/>
    </row>
    <row r="5" spans="1:16" s="175" customFormat="1" ht="18.75" x14ac:dyDescent="0.3">
      <c r="A5" s="173"/>
      <c r="B5" s="174"/>
      <c r="C5" s="174"/>
      <c r="D5" s="174"/>
      <c r="E5" s="174"/>
      <c r="F5" s="174"/>
      <c r="G5" s="174"/>
      <c r="H5" s="174"/>
      <c r="I5" s="174"/>
      <c r="J5" s="174"/>
      <c r="K5" s="174"/>
      <c r="L5" s="174"/>
      <c r="M5" s="174"/>
      <c r="N5" s="174"/>
      <c r="O5" s="174"/>
    </row>
    <row r="6" spans="1:16" s="178" customFormat="1" ht="45" x14ac:dyDescent="0.3">
      <c r="A6" s="176" t="s">
        <v>241</v>
      </c>
      <c r="B6" s="177" t="s">
        <v>8</v>
      </c>
      <c r="C6" s="177" t="s">
        <v>11</v>
      </c>
      <c r="D6" s="177" t="s">
        <v>12</v>
      </c>
      <c r="E6" s="177" t="s">
        <v>242</v>
      </c>
      <c r="F6" s="177" t="s">
        <v>243</v>
      </c>
      <c r="G6" s="177" t="s">
        <v>244</v>
      </c>
      <c r="H6" s="177" t="s">
        <v>245</v>
      </c>
      <c r="I6" s="177" t="s">
        <v>246</v>
      </c>
      <c r="J6" s="177" t="s">
        <v>247</v>
      </c>
      <c r="K6" s="177" t="s">
        <v>41</v>
      </c>
      <c r="L6" s="177" t="s">
        <v>248</v>
      </c>
      <c r="M6" s="177" t="s">
        <v>249</v>
      </c>
      <c r="N6" s="177" t="s">
        <v>250</v>
      </c>
      <c r="O6" s="177" t="s">
        <v>251</v>
      </c>
    </row>
    <row r="7" spans="1:16" s="182" customFormat="1" ht="15" x14ac:dyDescent="0.3">
      <c r="A7" s="179" t="s">
        <v>252</v>
      </c>
      <c r="B7" s="180">
        <v>82930</v>
      </c>
      <c r="C7" s="180">
        <v>3219</v>
      </c>
      <c r="D7" s="180">
        <v>59187</v>
      </c>
      <c r="E7" s="180">
        <v>301218</v>
      </c>
      <c r="F7" s="180" t="s">
        <v>253</v>
      </c>
      <c r="G7" s="180">
        <v>6620</v>
      </c>
      <c r="H7" s="180" t="s">
        <v>253</v>
      </c>
      <c r="I7" s="180" t="s">
        <v>253</v>
      </c>
      <c r="J7" s="180" t="s">
        <v>253</v>
      </c>
      <c r="K7" s="180" t="s">
        <v>253</v>
      </c>
      <c r="L7" s="180" t="s">
        <v>253</v>
      </c>
      <c r="M7" s="180" t="s">
        <v>253</v>
      </c>
      <c r="N7" s="180">
        <v>453174</v>
      </c>
      <c r="O7" s="181"/>
    </row>
    <row r="8" spans="1:16" s="182" customFormat="1" ht="15" x14ac:dyDescent="0.3">
      <c r="A8" s="179" t="s">
        <v>254</v>
      </c>
      <c r="B8" s="180">
        <v>82859</v>
      </c>
      <c r="C8" s="180">
        <v>2878</v>
      </c>
      <c r="D8" s="180">
        <v>56265</v>
      </c>
      <c r="E8" s="180">
        <v>307059</v>
      </c>
      <c r="F8" s="180" t="s">
        <v>253</v>
      </c>
      <c r="G8" s="180">
        <v>6641</v>
      </c>
      <c r="H8" s="180" t="s">
        <v>253</v>
      </c>
      <c r="I8" s="180" t="s">
        <v>253</v>
      </c>
      <c r="J8" s="180" t="s">
        <v>253</v>
      </c>
      <c r="K8" s="180" t="s">
        <v>253</v>
      </c>
      <c r="L8" s="180" t="s">
        <v>253</v>
      </c>
      <c r="M8" s="180" t="s">
        <v>253</v>
      </c>
      <c r="N8" s="180">
        <v>455702</v>
      </c>
      <c r="O8" s="181">
        <f t="shared" ref="O8:O45" si="0">(N8-N7)/N7</f>
        <v>5.5784312427456118E-3</v>
      </c>
    </row>
    <row r="9" spans="1:16" s="182" customFormat="1" ht="15" x14ac:dyDescent="0.3">
      <c r="A9" s="179" t="s">
        <v>255</v>
      </c>
      <c r="B9" s="180">
        <v>80725</v>
      </c>
      <c r="C9" s="180">
        <v>2656</v>
      </c>
      <c r="D9" s="180">
        <v>56773</v>
      </c>
      <c r="E9" s="180">
        <v>315651</v>
      </c>
      <c r="F9" s="180" t="s">
        <v>253</v>
      </c>
      <c r="G9" s="180">
        <v>6559</v>
      </c>
      <c r="H9" s="180" t="s">
        <v>253</v>
      </c>
      <c r="I9" s="180" t="s">
        <v>253</v>
      </c>
      <c r="J9" s="180" t="s">
        <v>253</v>
      </c>
      <c r="K9" s="180" t="s">
        <v>253</v>
      </c>
      <c r="L9" s="180" t="s">
        <v>253</v>
      </c>
      <c r="M9" s="180" t="s">
        <v>253</v>
      </c>
      <c r="N9" s="180">
        <v>462364</v>
      </c>
      <c r="O9" s="181">
        <f t="shared" si="0"/>
        <v>1.4619202900140882E-2</v>
      </c>
    </row>
    <row r="10" spans="1:16" s="182" customFormat="1" ht="15" x14ac:dyDescent="0.3">
      <c r="A10" s="179" t="s">
        <v>256</v>
      </c>
      <c r="B10" s="180">
        <v>70010</v>
      </c>
      <c r="C10" s="180">
        <v>2349</v>
      </c>
      <c r="D10" s="180">
        <v>48266</v>
      </c>
      <c r="E10" s="180">
        <v>298483</v>
      </c>
      <c r="F10" s="180" t="s">
        <v>253</v>
      </c>
      <c r="G10" s="180">
        <v>6125</v>
      </c>
      <c r="H10" s="180" t="s">
        <v>253</v>
      </c>
      <c r="I10" s="180" t="s">
        <v>253</v>
      </c>
      <c r="J10" s="180" t="s">
        <v>253</v>
      </c>
      <c r="K10" s="180" t="s">
        <v>253</v>
      </c>
      <c r="L10" s="180" t="s">
        <v>253</v>
      </c>
      <c r="M10" s="180" t="s">
        <v>253</v>
      </c>
      <c r="N10" s="180">
        <v>425233</v>
      </c>
      <c r="O10" s="181">
        <f t="shared" si="0"/>
        <v>-8.0306857800347783E-2</v>
      </c>
    </row>
    <row r="11" spans="1:16" s="182" customFormat="1" ht="15" x14ac:dyDescent="0.3">
      <c r="A11" s="179" t="s">
        <v>257</v>
      </c>
      <c r="B11" s="180">
        <v>67330</v>
      </c>
      <c r="C11" s="180">
        <v>2000</v>
      </c>
      <c r="D11" s="180">
        <v>46537</v>
      </c>
      <c r="E11" s="180">
        <v>293623</v>
      </c>
      <c r="F11" s="180" t="s">
        <v>253</v>
      </c>
      <c r="G11" s="180">
        <v>6062</v>
      </c>
      <c r="H11" s="180" t="s">
        <v>253</v>
      </c>
      <c r="I11" s="180" t="s">
        <v>253</v>
      </c>
      <c r="J11" s="180" t="s">
        <v>253</v>
      </c>
      <c r="K11" s="180" t="s">
        <v>253</v>
      </c>
      <c r="L11" s="180" t="s">
        <v>253</v>
      </c>
      <c r="M11" s="180" t="s">
        <v>253</v>
      </c>
      <c r="N11" s="180">
        <v>415552</v>
      </c>
      <c r="O11" s="181">
        <f t="shared" si="0"/>
        <v>-2.2766342217090396E-2</v>
      </c>
    </row>
    <row r="12" spans="1:16" s="182" customFormat="1" ht="15" x14ac:dyDescent="0.3">
      <c r="A12" s="179" t="s">
        <v>258</v>
      </c>
      <c r="B12" s="180">
        <v>65203</v>
      </c>
      <c r="C12" s="180">
        <v>1755</v>
      </c>
      <c r="D12" s="180">
        <v>46728</v>
      </c>
      <c r="E12" s="180">
        <v>288619</v>
      </c>
      <c r="F12" s="180" t="s">
        <v>253</v>
      </c>
      <c r="G12" s="180">
        <v>5501</v>
      </c>
      <c r="H12" s="180" t="s">
        <v>253</v>
      </c>
      <c r="I12" s="180" t="s">
        <v>253</v>
      </c>
      <c r="J12" s="180" t="s">
        <v>253</v>
      </c>
      <c r="K12" s="180" t="s">
        <v>253</v>
      </c>
      <c r="L12" s="180" t="s">
        <v>253</v>
      </c>
      <c r="M12" s="180" t="s">
        <v>253</v>
      </c>
      <c r="N12" s="180">
        <v>407806</v>
      </c>
      <c r="O12" s="181">
        <f t="shared" si="0"/>
        <v>-1.8640266440782382E-2</v>
      </c>
    </row>
    <row r="13" spans="1:16" s="182" customFormat="1" ht="15" x14ac:dyDescent="0.3">
      <c r="A13" s="179" t="s">
        <v>259</v>
      </c>
      <c r="B13" s="180">
        <v>65849</v>
      </c>
      <c r="C13" s="180">
        <v>1634</v>
      </c>
      <c r="D13" s="180">
        <v>48349</v>
      </c>
      <c r="E13" s="180">
        <v>293188</v>
      </c>
      <c r="F13" s="180" t="s">
        <v>253</v>
      </c>
      <c r="G13" s="180">
        <v>5333</v>
      </c>
      <c r="H13" s="180" t="s">
        <v>253</v>
      </c>
      <c r="I13" s="180" t="s">
        <v>253</v>
      </c>
      <c r="J13" s="180" t="s">
        <v>253</v>
      </c>
      <c r="K13" s="180" t="s">
        <v>253</v>
      </c>
      <c r="L13" s="180" t="s">
        <v>253</v>
      </c>
      <c r="M13" s="180" t="s">
        <v>253</v>
      </c>
      <c r="N13" s="180">
        <v>414353</v>
      </c>
      <c r="O13" s="181">
        <f t="shared" si="0"/>
        <v>1.6054202243223493E-2</v>
      </c>
    </row>
    <row r="14" spans="1:16" s="182" customFormat="1" ht="15" x14ac:dyDescent="0.3">
      <c r="A14" s="179" t="s">
        <v>260</v>
      </c>
      <c r="B14" s="180">
        <v>69193</v>
      </c>
      <c r="C14" s="180">
        <v>1554</v>
      </c>
      <c r="D14" s="180">
        <v>51959</v>
      </c>
      <c r="E14" s="180">
        <v>313909</v>
      </c>
      <c r="F14" s="180" t="s">
        <v>253</v>
      </c>
      <c r="G14" s="180">
        <v>5315</v>
      </c>
      <c r="H14" s="180" t="s">
        <v>253</v>
      </c>
      <c r="I14" s="180" t="s">
        <v>253</v>
      </c>
      <c r="J14" s="180" t="s">
        <v>253</v>
      </c>
      <c r="K14" s="180" t="s">
        <v>253</v>
      </c>
      <c r="L14" s="180" t="s">
        <v>253</v>
      </c>
      <c r="M14" s="180" t="s">
        <v>253</v>
      </c>
      <c r="N14" s="180">
        <v>441930</v>
      </c>
      <c r="O14" s="181">
        <f t="shared" si="0"/>
        <v>6.6554363067239775E-2</v>
      </c>
    </row>
    <row r="15" spans="1:16" s="182" customFormat="1" ht="15" x14ac:dyDescent="0.3">
      <c r="A15" s="179" t="s">
        <v>261</v>
      </c>
      <c r="B15" s="180">
        <v>72295</v>
      </c>
      <c r="C15" s="180">
        <v>1462</v>
      </c>
      <c r="D15" s="180">
        <v>54924</v>
      </c>
      <c r="E15" s="180">
        <v>317983</v>
      </c>
      <c r="F15" s="180" t="s">
        <v>253</v>
      </c>
      <c r="G15" s="180">
        <v>5361</v>
      </c>
      <c r="H15" s="180" t="s">
        <v>253</v>
      </c>
      <c r="I15" s="180" t="s">
        <v>253</v>
      </c>
      <c r="J15" s="180" t="s">
        <v>253</v>
      </c>
      <c r="K15" s="180" t="s">
        <v>253</v>
      </c>
      <c r="L15" s="180" t="s">
        <v>253</v>
      </c>
      <c r="M15" s="180" t="s">
        <v>253</v>
      </c>
      <c r="N15" s="180">
        <v>452025</v>
      </c>
      <c r="O15" s="181">
        <f t="shared" si="0"/>
        <v>2.2842984183015409E-2</v>
      </c>
    </row>
    <row r="16" spans="1:16" s="182" customFormat="1" ht="15" x14ac:dyDescent="0.3">
      <c r="A16" s="179" t="s">
        <v>262</v>
      </c>
      <c r="B16" s="180">
        <v>76308</v>
      </c>
      <c r="C16" s="180">
        <v>1394</v>
      </c>
      <c r="D16" s="180">
        <v>58258</v>
      </c>
      <c r="E16" s="180">
        <v>323778</v>
      </c>
      <c r="F16" s="180" t="s">
        <v>253</v>
      </c>
      <c r="G16" s="180">
        <v>5563</v>
      </c>
      <c r="H16" s="180">
        <v>9482</v>
      </c>
      <c r="I16" s="180">
        <v>6543</v>
      </c>
      <c r="J16" s="180" t="s">
        <v>253</v>
      </c>
      <c r="K16" s="180">
        <v>413</v>
      </c>
      <c r="L16" s="180" t="s">
        <v>253</v>
      </c>
      <c r="M16" s="180" t="s">
        <v>253</v>
      </c>
      <c r="N16" s="180">
        <v>481739</v>
      </c>
      <c r="O16" s="181">
        <f t="shared" si="0"/>
        <v>6.5735302250981689E-2</v>
      </c>
      <c r="P16" s="183"/>
    </row>
    <row r="17" spans="1:17" s="182" customFormat="1" ht="15" x14ac:dyDescent="0.3">
      <c r="A17" s="179" t="s">
        <v>263</v>
      </c>
      <c r="B17" s="180">
        <v>80044</v>
      </c>
      <c r="C17" s="180">
        <v>1304</v>
      </c>
      <c r="D17" s="180">
        <v>62419</v>
      </c>
      <c r="E17" s="180">
        <v>352321</v>
      </c>
      <c r="F17" s="180" t="s">
        <v>253</v>
      </c>
      <c r="G17" s="180">
        <v>6009</v>
      </c>
      <c r="H17" s="180">
        <v>20277</v>
      </c>
      <c r="I17" s="180">
        <v>19615</v>
      </c>
      <c r="J17" s="180">
        <v>19064</v>
      </c>
      <c r="K17" s="180">
        <v>561</v>
      </c>
      <c r="L17" s="180" t="s">
        <v>253</v>
      </c>
      <c r="M17" s="180" t="s">
        <v>253</v>
      </c>
      <c r="N17" s="180">
        <v>561614</v>
      </c>
      <c r="O17" s="181">
        <f t="shared" si="0"/>
        <v>0.165805550308362</v>
      </c>
    </row>
    <row r="18" spans="1:17" s="182" customFormat="1" ht="15" x14ac:dyDescent="0.3">
      <c r="A18" s="179" t="s">
        <v>264</v>
      </c>
      <c r="B18" s="180">
        <v>80266</v>
      </c>
      <c r="C18" s="180">
        <v>1220</v>
      </c>
      <c r="D18" s="180">
        <v>64875</v>
      </c>
      <c r="E18" s="180">
        <v>387882</v>
      </c>
      <c r="F18" s="180" t="s">
        <v>253</v>
      </c>
      <c r="G18" s="180">
        <v>5176</v>
      </c>
      <c r="H18" s="180">
        <v>28563</v>
      </c>
      <c r="I18" s="180">
        <v>36429</v>
      </c>
      <c r="J18" s="180">
        <v>33929</v>
      </c>
      <c r="K18" s="180">
        <v>1011</v>
      </c>
      <c r="L18" s="180" t="s">
        <v>253</v>
      </c>
      <c r="M18" s="180" t="s">
        <v>253</v>
      </c>
      <c r="N18" s="180">
        <v>639351</v>
      </c>
      <c r="O18" s="181">
        <f t="shared" si="0"/>
        <v>0.13841713347601733</v>
      </c>
    </row>
    <row r="19" spans="1:17" s="182" customFormat="1" ht="15" x14ac:dyDescent="0.3">
      <c r="A19" s="179" t="s">
        <v>265</v>
      </c>
      <c r="B19" s="180">
        <v>81466</v>
      </c>
      <c r="C19" s="180">
        <v>1116</v>
      </c>
      <c r="D19" s="180">
        <v>71397</v>
      </c>
      <c r="E19" s="180">
        <v>451983</v>
      </c>
      <c r="F19" s="180" t="s">
        <v>253</v>
      </c>
      <c r="G19" s="180">
        <v>4296</v>
      </c>
      <c r="H19" s="180">
        <v>37200</v>
      </c>
      <c r="I19" s="180">
        <v>61210</v>
      </c>
      <c r="J19" s="180">
        <v>42949</v>
      </c>
      <c r="K19" s="180">
        <v>1675</v>
      </c>
      <c r="L19" s="180" t="s">
        <v>253</v>
      </c>
      <c r="M19" s="180" t="s">
        <v>253</v>
      </c>
      <c r="N19" s="180">
        <v>753292</v>
      </c>
      <c r="O19" s="181">
        <f t="shared" si="0"/>
        <v>0.17821353215995595</v>
      </c>
      <c r="Q19" s="183"/>
    </row>
    <row r="20" spans="1:17" s="182" customFormat="1" ht="15" x14ac:dyDescent="0.3">
      <c r="A20" s="179" t="s">
        <v>266</v>
      </c>
      <c r="B20" s="180">
        <v>83337</v>
      </c>
      <c r="C20" s="180">
        <v>1064</v>
      </c>
      <c r="D20" s="180">
        <v>79282</v>
      </c>
      <c r="E20" s="180">
        <v>513023</v>
      </c>
      <c r="F20" s="180" t="s">
        <v>253</v>
      </c>
      <c r="G20" s="180">
        <v>4139</v>
      </c>
      <c r="H20" s="180">
        <v>43330</v>
      </c>
      <c r="I20" s="180">
        <v>94922</v>
      </c>
      <c r="J20" s="180">
        <v>56871</v>
      </c>
      <c r="K20" s="180">
        <v>1955</v>
      </c>
      <c r="L20" s="180" t="s">
        <v>253</v>
      </c>
      <c r="M20" s="180" t="s">
        <v>253</v>
      </c>
      <c r="N20" s="180">
        <v>877923</v>
      </c>
      <c r="O20" s="181">
        <f t="shared" si="0"/>
        <v>0.1654484582339916</v>
      </c>
    </row>
    <row r="21" spans="1:17" s="182" customFormat="1" ht="15" x14ac:dyDescent="0.3">
      <c r="A21" s="179" t="s">
        <v>267</v>
      </c>
      <c r="B21" s="180">
        <v>85702</v>
      </c>
      <c r="C21" s="180">
        <v>1003</v>
      </c>
      <c r="D21" s="180">
        <v>87664</v>
      </c>
      <c r="E21" s="180">
        <v>562661</v>
      </c>
      <c r="F21" s="180" t="s">
        <v>253</v>
      </c>
      <c r="G21" s="180">
        <v>4133</v>
      </c>
      <c r="H21" s="180">
        <v>45629</v>
      </c>
      <c r="I21" s="180">
        <v>132348</v>
      </c>
      <c r="J21" s="180">
        <v>71120</v>
      </c>
      <c r="K21" s="180">
        <v>2437</v>
      </c>
      <c r="L21" s="180" t="s">
        <v>253</v>
      </c>
      <c r="M21" s="180" t="s">
        <v>253</v>
      </c>
      <c r="N21" s="180">
        <v>992697</v>
      </c>
      <c r="O21" s="181">
        <f t="shared" si="0"/>
        <v>0.13073356091593455</v>
      </c>
    </row>
    <row r="22" spans="1:17" s="182" customFormat="1" ht="15" x14ac:dyDescent="0.3">
      <c r="A22" s="179" t="s">
        <v>268</v>
      </c>
      <c r="B22" s="180">
        <v>86111</v>
      </c>
      <c r="C22" s="180">
        <v>929</v>
      </c>
      <c r="D22" s="180">
        <v>90889</v>
      </c>
      <c r="E22" s="180">
        <v>581397</v>
      </c>
      <c r="F22" s="180" t="s">
        <v>253</v>
      </c>
      <c r="G22" s="180">
        <v>4100</v>
      </c>
      <c r="H22" s="180">
        <v>46970</v>
      </c>
      <c r="I22" s="180">
        <v>162417</v>
      </c>
      <c r="J22" s="180">
        <v>83460</v>
      </c>
      <c r="K22" s="180">
        <v>2330</v>
      </c>
      <c r="L22" s="180" t="s">
        <v>253</v>
      </c>
      <c r="M22" s="180" t="s">
        <v>253</v>
      </c>
      <c r="N22" s="180">
        <v>1058603</v>
      </c>
      <c r="O22" s="181">
        <f t="shared" si="0"/>
        <v>6.6390852395040986E-2</v>
      </c>
    </row>
    <row r="23" spans="1:17" s="182" customFormat="1" ht="15" x14ac:dyDescent="0.3">
      <c r="A23" s="179" t="s">
        <v>269</v>
      </c>
      <c r="B23" s="180">
        <v>127514</v>
      </c>
      <c r="C23" s="180">
        <v>2716</v>
      </c>
      <c r="D23" s="180">
        <v>155215</v>
      </c>
      <c r="E23" s="180">
        <v>533300</v>
      </c>
      <c r="F23" s="180" t="s">
        <v>253</v>
      </c>
      <c r="G23" s="180">
        <v>3808</v>
      </c>
      <c r="H23" s="180">
        <v>48115</v>
      </c>
      <c r="I23" s="180">
        <v>216888</v>
      </c>
      <c r="J23" s="180">
        <v>48373</v>
      </c>
      <c r="K23" s="180">
        <v>2857</v>
      </c>
      <c r="L23" s="180" t="s">
        <v>253</v>
      </c>
      <c r="M23" s="180" t="s">
        <v>253</v>
      </c>
      <c r="N23" s="180">
        <v>1138786</v>
      </c>
      <c r="O23" s="181">
        <f t="shared" si="0"/>
        <v>7.5744164715195406E-2</v>
      </c>
    </row>
    <row r="24" spans="1:17" s="182" customFormat="1" ht="15" x14ac:dyDescent="0.3">
      <c r="A24" s="179" t="s">
        <v>270</v>
      </c>
      <c r="B24" s="180">
        <v>131496</v>
      </c>
      <c r="C24" s="180">
        <v>2710</v>
      </c>
      <c r="D24" s="180">
        <v>171204</v>
      </c>
      <c r="E24" s="180">
        <v>496501</v>
      </c>
      <c r="F24" s="180" t="s">
        <v>253</v>
      </c>
      <c r="G24" s="180">
        <v>3696</v>
      </c>
      <c r="H24" s="180">
        <v>52466</v>
      </c>
      <c r="I24" s="180">
        <v>261525</v>
      </c>
      <c r="J24" s="180">
        <v>53072</v>
      </c>
      <c r="K24" s="180">
        <v>3919</v>
      </c>
      <c r="L24" s="180" t="s">
        <v>253</v>
      </c>
      <c r="M24" s="180" t="s">
        <v>253</v>
      </c>
      <c r="N24" s="180">
        <v>1176589</v>
      </c>
      <c r="O24" s="181">
        <f t="shared" si="0"/>
        <v>3.3195877012889168E-2</v>
      </c>
    </row>
    <row r="25" spans="1:17" s="182" customFormat="1" ht="15" x14ac:dyDescent="0.3">
      <c r="A25" s="179" t="s">
        <v>271</v>
      </c>
      <c r="B25" s="180">
        <v>132173</v>
      </c>
      <c r="C25" s="180">
        <v>2593</v>
      </c>
      <c r="D25" s="180">
        <v>176160</v>
      </c>
      <c r="E25" s="180">
        <v>462881</v>
      </c>
      <c r="F25" s="180" t="s">
        <v>253</v>
      </c>
      <c r="G25" s="180">
        <v>3747</v>
      </c>
      <c r="H25" s="180">
        <v>55838</v>
      </c>
      <c r="I25" s="180">
        <v>295882</v>
      </c>
      <c r="J25" s="180">
        <v>58036</v>
      </c>
      <c r="K25" s="180">
        <v>4823</v>
      </c>
      <c r="L25" s="180" t="s">
        <v>253</v>
      </c>
      <c r="M25" s="180" t="s">
        <v>253</v>
      </c>
      <c r="N25" s="180">
        <v>1192133</v>
      </c>
      <c r="O25" s="181">
        <f t="shared" si="0"/>
        <v>1.3211070305773724E-2</v>
      </c>
    </row>
    <row r="26" spans="1:17" s="182" customFormat="1" ht="15" x14ac:dyDescent="0.3">
      <c r="A26" s="179" t="s">
        <v>272</v>
      </c>
      <c r="B26" s="180">
        <v>131332</v>
      </c>
      <c r="C26" s="180">
        <v>2531</v>
      </c>
      <c r="D26" s="180">
        <v>180461</v>
      </c>
      <c r="E26" s="180">
        <v>414853</v>
      </c>
      <c r="F26" s="180" t="s">
        <v>253</v>
      </c>
      <c r="G26" s="180">
        <v>3905</v>
      </c>
      <c r="H26" s="180">
        <v>58899</v>
      </c>
      <c r="I26" s="180">
        <v>337849</v>
      </c>
      <c r="J26" s="180">
        <v>61032</v>
      </c>
      <c r="K26" s="180">
        <v>6311</v>
      </c>
      <c r="L26" s="180" t="s">
        <v>253</v>
      </c>
      <c r="M26" s="180" t="s">
        <v>253</v>
      </c>
      <c r="N26" s="180">
        <v>1197173</v>
      </c>
      <c r="O26" s="181">
        <f t="shared" si="0"/>
        <v>4.2277162028062304E-3</v>
      </c>
    </row>
    <row r="27" spans="1:17" s="182" customFormat="1" ht="15" x14ac:dyDescent="0.3">
      <c r="A27" s="179" t="s">
        <v>273</v>
      </c>
      <c r="B27" s="180">
        <v>152582</v>
      </c>
      <c r="C27" s="180">
        <v>2497</v>
      </c>
      <c r="D27" s="180">
        <v>199523</v>
      </c>
      <c r="E27" s="180">
        <v>344621</v>
      </c>
      <c r="F27" s="180" t="s">
        <v>253</v>
      </c>
      <c r="G27" s="180">
        <v>3941</v>
      </c>
      <c r="H27" s="180">
        <v>60896</v>
      </c>
      <c r="I27" s="180">
        <v>371986</v>
      </c>
      <c r="J27" s="180">
        <v>32737</v>
      </c>
      <c r="K27" s="180">
        <v>8036</v>
      </c>
      <c r="L27" s="180" t="s">
        <v>253</v>
      </c>
      <c r="M27" s="180" t="s">
        <v>253</v>
      </c>
      <c r="N27" s="180">
        <v>1176819</v>
      </c>
      <c r="O27" s="181">
        <f t="shared" si="0"/>
        <v>-1.7001719885095971E-2</v>
      </c>
    </row>
    <row r="28" spans="1:17" s="182" customFormat="1" ht="15" x14ac:dyDescent="0.3">
      <c r="A28" s="179" t="s">
        <v>274</v>
      </c>
      <c r="B28" s="180">
        <v>154222</v>
      </c>
      <c r="C28" s="180">
        <v>2428</v>
      </c>
      <c r="D28" s="180">
        <v>205205</v>
      </c>
      <c r="E28" s="180">
        <v>330113</v>
      </c>
      <c r="F28" s="180" t="s">
        <v>253</v>
      </c>
      <c r="G28" s="180">
        <v>4063</v>
      </c>
      <c r="H28" s="180">
        <v>60918</v>
      </c>
      <c r="I28" s="180">
        <v>421158</v>
      </c>
      <c r="J28" s="180">
        <v>33302</v>
      </c>
      <c r="K28" s="180">
        <v>9857</v>
      </c>
      <c r="L28" s="180" t="s">
        <v>253</v>
      </c>
      <c r="M28" s="180" t="s">
        <v>253</v>
      </c>
      <c r="N28" s="180">
        <v>1221266</v>
      </c>
      <c r="O28" s="181">
        <f t="shared" si="0"/>
        <v>3.7768764780310313E-2</v>
      </c>
    </row>
    <row r="29" spans="1:17" s="182" customFormat="1" ht="15" x14ac:dyDescent="0.3">
      <c r="A29" s="179" t="s">
        <v>275</v>
      </c>
      <c r="B29" s="180">
        <v>154284</v>
      </c>
      <c r="C29" s="180">
        <v>2357</v>
      </c>
      <c r="D29" s="180">
        <v>212798</v>
      </c>
      <c r="E29" s="180">
        <v>450472</v>
      </c>
      <c r="F29" s="180" t="s">
        <v>253</v>
      </c>
      <c r="G29" s="180">
        <v>4195</v>
      </c>
      <c r="H29" s="180">
        <v>57318</v>
      </c>
      <c r="I29" s="180">
        <v>424436</v>
      </c>
      <c r="J29" s="180">
        <v>36053</v>
      </c>
      <c r="K29" s="180">
        <v>12680</v>
      </c>
      <c r="L29" s="180" t="s">
        <v>253</v>
      </c>
      <c r="M29" s="180" t="s">
        <v>253</v>
      </c>
      <c r="N29" s="180">
        <v>1354593</v>
      </c>
      <c r="O29" s="181">
        <f t="shared" si="0"/>
        <v>0.10917113880186625</v>
      </c>
    </row>
    <row r="30" spans="1:17" s="182" customFormat="1" ht="15" x14ac:dyDescent="0.3">
      <c r="A30" s="179" t="s">
        <v>276</v>
      </c>
      <c r="B30" s="180">
        <v>153282</v>
      </c>
      <c r="C30" s="180">
        <v>2334</v>
      </c>
      <c r="D30" s="180">
        <v>221813</v>
      </c>
      <c r="E30" s="180">
        <v>456148</v>
      </c>
      <c r="F30" s="180" t="s">
        <v>253</v>
      </c>
      <c r="G30" s="180">
        <v>4737</v>
      </c>
      <c r="H30" s="180">
        <v>53009</v>
      </c>
      <c r="I30" s="180">
        <v>444299</v>
      </c>
      <c r="J30" s="180">
        <v>39799</v>
      </c>
      <c r="K30" s="180">
        <v>14523</v>
      </c>
      <c r="L30" s="180">
        <v>84</v>
      </c>
      <c r="M30" s="180" t="s">
        <v>253</v>
      </c>
      <c r="N30" s="180">
        <v>1390028</v>
      </c>
      <c r="O30" s="181">
        <f t="shared" si="0"/>
        <v>2.615914891041073E-2</v>
      </c>
    </row>
    <row r="31" spans="1:17" s="182" customFormat="1" ht="15" x14ac:dyDescent="0.3">
      <c r="A31" s="179" t="s">
        <v>277</v>
      </c>
      <c r="B31" s="180">
        <v>151672</v>
      </c>
      <c r="C31" s="180">
        <v>2226</v>
      </c>
      <c r="D31" s="180">
        <v>228159</v>
      </c>
      <c r="E31" s="180">
        <v>478641</v>
      </c>
      <c r="F31" s="180" t="s">
        <v>253</v>
      </c>
      <c r="G31" s="180">
        <v>4881</v>
      </c>
      <c r="H31" s="180">
        <v>51111</v>
      </c>
      <c r="I31" s="180">
        <v>474557</v>
      </c>
      <c r="J31" s="180">
        <v>41030</v>
      </c>
      <c r="K31" s="180">
        <v>14805</v>
      </c>
      <c r="L31" s="180">
        <v>201</v>
      </c>
      <c r="M31" s="180" t="s">
        <v>253</v>
      </c>
      <c r="N31" s="180">
        <v>1447283</v>
      </c>
      <c r="O31" s="181">
        <f t="shared" si="0"/>
        <v>4.1189817759066723E-2</v>
      </c>
    </row>
    <row r="32" spans="1:17" s="182" customFormat="1" ht="15" x14ac:dyDescent="0.3">
      <c r="A32" s="179" t="s">
        <v>278</v>
      </c>
      <c r="B32" s="180">
        <v>151478</v>
      </c>
      <c r="C32" s="180">
        <v>2177</v>
      </c>
      <c r="D32" s="180">
        <v>238810</v>
      </c>
      <c r="E32" s="180">
        <v>485856</v>
      </c>
      <c r="F32" s="180" t="s">
        <v>253</v>
      </c>
      <c r="G32" s="180">
        <v>4882</v>
      </c>
      <c r="H32" s="180">
        <v>53768</v>
      </c>
      <c r="I32" s="180">
        <v>517251</v>
      </c>
      <c r="J32" s="180">
        <v>42413</v>
      </c>
      <c r="K32" s="180">
        <v>15528</v>
      </c>
      <c r="L32" s="180">
        <v>197</v>
      </c>
      <c r="M32" s="180" t="s">
        <v>253</v>
      </c>
      <c r="N32" s="180">
        <v>1512360</v>
      </c>
      <c r="O32" s="181">
        <f t="shared" si="0"/>
        <v>4.4964944658370198E-2</v>
      </c>
    </row>
    <row r="33" spans="1:17" s="182" customFormat="1" ht="15" x14ac:dyDescent="0.3">
      <c r="A33" s="179" t="s">
        <v>279</v>
      </c>
      <c r="B33" s="180">
        <v>151512</v>
      </c>
      <c r="C33" s="180">
        <v>2130</v>
      </c>
      <c r="D33" s="180">
        <v>249921</v>
      </c>
      <c r="E33" s="180">
        <v>468711</v>
      </c>
      <c r="F33" s="180" t="s">
        <v>253</v>
      </c>
      <c r="G33" s="180">
        <v>5366</v>
      </c>
      <c r="H33" s="180">
        <v>57190</v>
      </c>
      <c r="I33" s="180">
        <v>567060</v>
      </c>
      <c r="J33" s="180">
        <v>44130</v>
      </c>
      <c r="K33" s="180">
        <v>17496</v>
      </c>
      <c r="L33" s="180">
        <v>235</v>
      </c>
      <c r="M33" s="180" t="s">
        <v>253</v>
      </c>
      <c r="N33" s="180">
        <v>1563751</v>
      </c>
      <c r="O33" s="181">
        <f t="shared" si="0"/>
        <v>3.3980665978999708E-2</v>
      </c>
    </row>
    <row r="34" spans="1:17" s="182" customFormat="1" ht="15" x14ac:dyDescent="0.3">
      <c r="A34" s="179" t="s">
        <v>280</v>
      </c>
      <c r="B34" s="180">
        <v>149961</v>
      </c>
      <c r="C34" s="180">
        <v>2084</v>
      </c>
      <c r="D34" s="180">
        <v>257344</v>
      </c>
      <c r="E34" s="180">
        <v>446108</v>
      </c>
      <c r="F34" s="180">
        <v>22554</v>
      </c>
      <c r="G34" s="180">
        <v>5511</v>
      </c>
      <c r="H34" s="180">
        <v>58518</v>
      </c>
      <c r="I34" s="180">
        <v>588417</v>
      </c>
      <c r="J34" s="180">
        <v>52895</v>
      </c>
      <c r="K34" s="180">
        <v>18980</v>
      </c>
      <c r="L34" s="180">
        <v>273</v>
      </c>
      <c r="M34" s="180">
        <v>41812</v>
      </c>
      <c r="N34" s="180">
        <v>1644457</v>
      </c>
      <c r="O34" s="181">
        <f t="shared" si="0"/>
        <v>5.1610518554424584E-2</v>
      </c>
    </row>
    <row r="35" spans="1:17" s="182" customFormat="1" ht="15" x14ac:dyDescent="0.3">
      <c r="A35" s="179" t="s">
        <v>281</v>
      </c>
      <c r="B35" s="180">
        <v>147813</v>
      </c>
      <c r="C35" s="180">
        <v>1988</v>
      </c>
      <c r="D35" s="180">
        <v>261594</v>
      </c>
      <c r="E35" s="180">
        <v>410325</v>
      </c>
      <c r="F35" s="180">
        <v>40728</v>
      </c>
      <c r="G35" s="180">
        <v>5599</v>
      </c>
      <c r="H35" s="180">
        <v>60016</v>
      </c>
      <c r="I35" s="180">
        <v>622292</v>
      </c>
      <c r="J35" s="180">
        <v>56612</v>
      </c>
      <c r="K35" s="180">
        <v>20731</v>
      </c>
      <c r="L35" s="180">
        <v>321</v>
      </c>
      <c r="M35" s="180">
        <v>54009</v>
      </c>
      <c r="N35" s="180">
        <v>1682028</v>
      </c>
      <c r="O35" s="181">
        <f t="shared" si="0"/>
        <v>2.2847055289375154E-2</v>
      </c>
      <c r="Q35" s="183"/>
    </row>
    <row r="36" spans="1:17" s="182" customFormat="1" ht="15" x14ac:dyDescent="0.3">
      <c r="A36" s="179" t="s">
        <v>282</v>
      </c>
      <c r="B36" s="180">
        <v>145898</v>
      </c>
      <c r="C36" s="180">
        <v>1923</v>
      </c>
      <c r="D36" s="180">
        <v>267843</v>
      </c>
      <c r="E36" s="180">
        <f>451186-47621</f>
        <v>403565</v>
      </c>
      <c r="F36" s="180">
        <v>47621</v>
      </c>
      <c r="G36" s="180">
        <v>5746</v>
      </c>
      <c r="H36" s="180">
        <v>59628</v>
      </c>
      <c r="I36" s="180">
        <v>655311</v>
      </c>
      <c r="J36" s="180">
        <v>59428</v>
      </c>
      <c r="K36" s="180">
        <v>21626</v>
      </c>
      <c r="L36" s="180">
        <v>427</v>
      </c>
      <c r="M36" s="180">
        <v>57396</v>
      </c>
      <c r="N36" s="180">
        <v>1726412</v>
      </c>
      <c r="O36" s="181">
        <f t="shared" si="0"/>
        <v>2.6387194505680049E-2</v>
      </c>
    </row>
    <row r="37" spans="1:17" s="182" customFormat="1" ht="15" x14ac:dyDescent="0.3">
      <c r="A37" s="179" t="s">
        <v>283</v>
      </c>
      <c r="B37" s="180">
        <v>143144</v>
      </c>
      <c r="C37" s="180">
        <v>1946</v>
      </c>
      <c r="D37" s="180">
        <v>275497</v>
      </c>
      <c r="E37" s="180">
        <v>426822</v>
      </c>
      <c r="F37" s="180">
        <v>61809</v>
      </c>
      <c r="G37" s="180">
        <v>5364</v>
      </c>
      <c r="H37" s="180">
        <v>58435</v>
      </c>
      <c r="I37" s="180">
        <v>706667</v>
      </c>
      <c r="J37" s="180">
        <v>64138</v>
      </c>
      <c r="K37" s="180">
        <v>21389</v>
      </c>
      <c r="L37" s="180">
        <v>530</v>
      </c>
      <c r="M37" s="180">
        <v>55722</v>
      </c>
      <c r="N37" s="180">
        <v>1821463</v>
      </c>
      <c r="O37" s="181">
        <f t="shared" si="0"/>
        <v>5.5056962069309066E-2</v>
      </c>
    </row>
    <row r="38" spans="1:17" s="182" customFormat="1" ht="15" x14ac:dyDescent="0.3">
      <c r="A38" s="179" t="s">
        <v>284</v>
      </c>
      <c r="B38" s="180">
        <v>142130</v>
      </c>
      <c r="C38" s="180">
        <v>1944</v>
      </c>
      <c r="D38" s="180">
        <v>286747</v>
      </c>
      <c r="E38" s="180">
        <v>442778</v>
      </c>
      <c r="F38" s="180">
        <v>77386</v>
      </c>
      <c r="G38" s="180">
        <v>5022</v>
      </c>
      <c r="H38" s="180">
        <v>57296</v>
      </c>
      <c r="I38" s="180">
        <v>759465</v>
      </c>
      <c r="J38" s="180">
        <v>69610</v>
      </c>
      <c r="K38" s="180">
        <v>20128</v>
      </c>
      <c r="L38" s="180">
        <v>624</v>
      </c>
      <c r="M38" s="180">
        <v>51591</v>
      </c>
      <c r="N38" s="180">
        <v>1914721</v>
      </c>
      <c r="O38" s="181">
        <f t="shared" si="0"/>
        <v>5.1199502817240866E-2</v>
      </c>
    </row>
    <row r="39" spans="1:17" s="182" customFormat="1" ht="15" x14ac:dyDescent="0.3">
      <c r="A39" s="179" t="s">
        <v>285</v>
      </c>
      <c r="B39" s="180">
        <v>143563</v>
      </c>
      <c r="C39" s="180">
        <v>1992</v>
      </c>
      <c r="D39" s="180">
        <v>299123</v>
      </c>
      <c r="E39" s="180">
        <v>452172</v>
      </c>
      <c r="F39" s="180">
        <v>87647</v>
      </c>
      <c r="G39" s="180">
        <v>4848</v>
      </c>
      <c r="H39" s="180">
        <v>58031</v>
      </c>
      <c r="I39" s="180">
        <v>789179</v>
      </c>
      <c r="J39" s="180">
        <v>74600</v>
      </c>
      <c r="K39" s="180">
        <v>18979</v>
      </c>
      <c r="L39" s="180">
        <v>693</v>
      </c>
      <c r="M39" s="180">
        <v>53188</v>
      </c>
      <c r="N39" s="180">
        <v>1984015</v>
      </c>
      <c r="O39" s="181">
        <f t="shared" si="0"/>
        <v>3.6190129005740264E-2</v>
      </c>
    </row>
    <row r="40" spans="1:17" s="182" customFormat="1" ht="15" x14ac:dyDescent="0.3">
      <c r="A40" s="179" t="s">
        <v>286</v>
      </c>
      <c r="B40" s="180">
        <v>143191</v>
      </c>
      <c r="C40" s="180">
        <v>1992</v>
      </c>
      <c r="D40" s="180">
        <v>305786</v>
      </c>
      <c r="E40" s="180">
        <v>439595</v>
      </c>
      <c r="F40" s="180">
        <v>88280</v>
      </c>
      <c r="G40" s="180">
        <v>4464</v>
      </c>
      <c r="H40" s="180">
        <v>60227</v>
      </c>
      <c r="I40" s="180">
        <v>815971</v>
      </c>
      <c r="J40" s="180">
        <v>81060</v>
      </c>
      <c r="K40" s="180">
        <v>18051</v>
      </c>
      <c r="L40" s="180">
        <v>685</v>
      </c>
      <c r="M40" s="180">
        <v>53001</v>
      </c>
      <c r="N40" s="180">
        <v>2012303</v>
      </c>
      <c r="O40" s="181">
        <f t="shared" si="0"/>
        <v>1.4257956719077225E-2</v>
      </c>
    </row>
    <row r="41" spans="1:17" s="182" customFormat="1" ht="15" x14ac:dyDescent="0.3">
      <c r="A41" s="179" t="s">
        <v>287</v>
      </c>
      <c r="B41" s="180">
        <v>143508</v>
      </c>
      <c r="C41" s="180">
        <v>1964</v>
      </c>
      <c r="D41" s="180">
        <v>311154</v>
      </c>
      <c r="E41" s="180">
        <v>419874</v>
      </c>
      <c r="F41" s="180">
        <v>82610</v>
      </c>
      <c r="G41" s="180">
        <v>4413</v>
      </c>
      <c r="H41" s="180">
        <v>60961</v>
      </c>
      <c r="I41" s="180">
        <v>854454</v>
      </c>
      <c r="J41" s="180">
        <v>83004</v>
      </c>
      <c r="K41" s="180">
        <v>21492</v>
      </c>
      <c r="L41" s="180">
        <v>737</v>
      </c>
      <c r="M41" s="180">
        <v>54080</v>
      </c>
      <c r="N41" s="180">
        <v>2038251</v>
      </c>
      <c r="O41" s="181">
        <f t="shared" si="0"/>
        <v>1.289467838590908E-2</v>
      </c>
    </row>
    <row r="42" spans="1:17" s="182" customFormat="1" ht="15" x14ac:dyDescent="0.3">
      <c r="A42" s="179" t="s">
        <v>288</v>
      </c>
      <c r="B42" s="180">
        <v>137055</v>
      </c>
      <c r="C42" s="180">
        <v>2039</v>
      </c>
      <c r="D42" s="180">
        <v>321737</v>
      </c>
      <c r="E42" s="180">
        <v>453300</v>
      </c>
      <c r="F42" s="180">
        <v>73814</v>
      </c>
      <c r="G42" s="180">
        <v>4655</v>
      </c>
      <c r="H42" s="180">
        <v>49793</v>
      </c>
      <c r="I42" s="180">
        <v>817808</v>
      </c>
      <c r="J42" s="180">
        <v>81491</v>
      </c>
      <c r="K42" s="180">
        <v>24296</v>
      </c>
      <c r="L42" s="180">
        <v>748</v>
      </c>
      <c r="M42" s="180">
        <v>127582</v>
      </c>
      <c r="N42" s="180">
        <f>SUM(B42:M42)</f>
        <v>2094318</v>
      </c>
      <c r="O42" s="181">
        <v>2.7507407085780897E-2</v>
      </c>
    </row>
    <row r="43" spans="1:17" s="182" customFormat="1" ht="15" x14ac:dyDescent="0.3">
      <c r="A43" s="179" t="s">
        <v>289</v>
      </c>
      <c r="B43" s="180">
        <v>141887</v>
      </c>
      <c r="C43" s="180">
        <v>1931</v>
      </c>
      <c r="D43" s="180">
        <v>319460</v>
      </c>
      <c r="E43" s="180">
        <v>648988</v>
      </c>
      <c r="F43" s="180">
        <v>90351</v>
      </c>
      <c r="G43" s="180">
        <v>5910</v>
      </c>
      <c r="H43" s="180">
        <v>38989</v>
      </c>
      <c r="I43" s="180">
        <v>691858</v>
      </c>
      <c r="J43" s="180">
        <v>85156</v>
      </c>
      <c r="K43" s="180">
        <v>28578</v>
      </c>
      <c r="L43" s="180">
        <v>660</v>
      </c>
      <c r="M43" s="180">
        <v>136113</v>
      </c>
      <c r="N43" s="180">
        <f>SUM(B43:M43)</f>
        <v>2189881</v>
      </c>
      <c r="O43" s="181">
        <f t="shared" si="0"/>
        <v>4.5629651275498756E-2</v>
      </c>
    </row>
    <row r="44" spans="1:17" s="182" customFormat="1" ht="15" x14ac:dyDescent="0.3">
      <c r="A44" s="179" t="s">
        <v>290</v>
      </c>
      <c r="B44" s="180">
        <v>144814</v>
      </c>
      <c r="C44" s="180">
        <v>1835</v>
      </c>
      <c r="D44" s="180">
        <v>326580</v>
      </c>
      <c r="E44" s="180">
        <v>836745</v>
      </c>
      <c r="F44" s="180">
        <v>147327</v>
      </c>
      <c r="G44" s="180">
        <v>6633</v>
      </c>
      <c r="H44" s="180">
        <v>33817</v>
      </c>
      <c r="I44" s="180">
        <v>501923</v>
      </c>
      <c r="J44" s="180">
        <v>90113</v>
      </c>
      <c r="K44" s="180">
        <v>31182</v>
      </c>
      <c r="L44" s="180">
        <v>568</v>
      </c>
      <c r="M44" s="180">
        <v>144113</v>
      </c>
      <c r="N44" s="180">
        <v>2265650</v>
      </c>
      <c r="O44" s="181">
        <f t="shared" si="0"/>
        <v>3.4599596964401264E-2</v>
      </c>
    </row>
    <row r="45" spans="1:17" s="182" customFormat="1" ht="15.75" x14ac:dyDescent="0.3">
      <c r="A45" s="179" t="s">
        <v>291</v>
      </c>
      <c r="B45" s="246">
        <v>148248</v>
      </c>
      <c r="C45" s="245">
        <v>1800</v>
      </c>
      <c r="D45" s="245">
        <v>332461</v>
      </c>
      <c r="E45" s="245">
        <v>887137</v>
      </c>
      <c r="F45" s="245">
        <v>214289</v>
      </c>
      <c r="G45" s="245">
        <v>6912</v>
      </c>
      <c r="H45" s="246">
        <v>31473</v>
      </c>
      <c r="I45" s="245">
        <v>434930</v>
      </c>
      <c r="J45" s="245">
        <v>87299</v>
      </c>
      <c r="K45" s="245">
        <v>36949</v>
      </c>
      <c r="L45" s="246">
        <v>613</v>
      </c>
      <c r="M45" s="245">
        <v>150095</v>
      </c>
      <c r="N45" s="180">
        <f>SUM(B45:M45)</f>
        <v>2332206</v>
      </c>
      <c r="O45" s="181">
        <f t="shared" si="0"/>
        <v>2.9376117229051264E-2</v>
      </c>
    </row>
    <row r="46" spans="1:17" s="182" customFormat="1" ht="15.75" x14ac:dyDescent="0.3">
      <c r="A46" s="184"/>
      <c r="B46" s="4"/>
      <c r="C46" s="4"/>
      <c r="D46" s="4"/>
      <c r="E46" s="4"/>
      <c r="F46" s="4"/>
      <c r="G46" s="4"/>
      <c r="H46" s="4"/>
      <c r="I46" s="4"/>
      <c r="J46" s="4"/>
      <c r="K46" s="4"/>
      <c r="L46" s="4"/>
      <c r="M46" s="4"/>
      <c r="N46" s="185"/>
      <c r="O46" s="186"/>
    </row>
    <row r="47" spans="1:17" s="182" customFormat="1" ht="17.25" customHeight="1" x14ac:dyDescent="0.3">
      <c r="A47" s="184" t="s">
        <v>292</v>
      </c>
      <c r="B47" s="185">
        <f>B44/$N$44</f>
        <v>6.3917198155054838E-2</v>
      </c>
      <c r="C47" s="185">
        <f>C44/$N$44</f>
        <v>8.099220974113389E-4</v>
      </c>
      <c r="D47" s="185">
        <f t="shared" ref="D47:N47" si="1">D44/$N$44</f>
        <v>0.14414406461721802</v>
      </c>
      <c r="E47" s="185">
        <f t="shared" si="1"/>
        <v>0.36931785580297044</v>
      </c>
      <c r="F47" s="185">
        <f t="shared" si="1"/>
        <v>6.5026372122790374E-2</v>
      </c>
      <c r="G47" s="185">
        <f t="shared" si="1"/>
        <v>2.9276366605609869E-3</v>
      </c>
      <c r="H47" s="185">
        <f t="shared" si="1"/>
        <v>1.4925959437688964E-2</v>
      </c>
      <c r="I47" s="185">
        <f t="shared" si="1"/>
        <v>0.22153598305122149</v>
      </c>
      <c r="J47" s="185">
        <f t="shared" si="1"/>
        <v>3.977357491227683E-2</v>
      </c>
      <c r="K47" s="185">
        <f t="shared" si="1"/>
        <v>1.3762937788272681E-2</v>
      </c>
      <c r="L47" s="185">
        <f t="shared" si="1"/>
        <v>2.5070068192350982E-4</v>
      </c>
      <c r="M47" s="185">
        <f t="shared" si="1"/>
        <v>6.3607794672610504E-2</v>
      </c>
      <c r="N47" s="185">
        <f t="shared" si="1"/>
        <v>1</v>
      </c>
      <c r="O47" s="186"/>
    </row>
    <row r="48" spans="1:17" x14ac:dyDescent="0.3">
      <c r="A48" s="184" t="s">
        <v>293</v>
      </c>
      <c r="B48" s="185">
        <f t="shared" ref="B48:N48" si="2">B45/$N$45</f>
        <v>6.3565568393186542E-2</v>
      </c>
      <c r="C48" s="185">
        <f t="shared" si="2"/>
        <v>7.7180146179196862E-4</v>
      </c>
      <c r="D48" s="185">
        <f t="shared" si="2"/>
        <v>0.14255215877156649</v>
      </c>
      <c r="E48" s="185">
        <f t="shared" si="2"/>
        <v>0.38038535189430095</v>
      </c>
      <c r="F48" s="185">
        <f t="shared" si="2"/>
        <v>9.1882535247743979E-2</v>
      </c>
      <c r="G48" s="185">
        <f t="shared" si="2"/>
        <v>2.9637176132811596E-3</v>
      </c>
      <c r="H48" s="185">
        <f t="shared" si="2"/>
        <v>1.3494948559432571E-2</v>
      </c>
      <c r="I48" s="185">
        <f t="shared" si="2"/>
        <v>0.18648867209843384</v>
      </c>
      <c r="J48" s="185">
        <f t="shared" si="2"/>
        <v>3.7431942118320592E-2</v>
      </c>
      <c r="K48" s="185">
        <f t="shared" si="2"/>
        <v>1.5842940117639693E-2</v>
      </c>
      <c r="L48" s="185">
        <f t="shared" si="2"/>
        <v>2.6284127559915378E-4</v>
      </c>
      <c r="M48" s="185">
        <f t="shared" si="2"/>
        <v>6.4357522448703075E-2</v>
      </c>
      <c r="N48" s="185">
        <f t="shared" si="2"/>
        <v>1</v>
      </c>
    </row>
    <row r="49" spans="1:15" x14ac:dyDescent="0.3">
      <c r="A49" s="189"/>
      <c r="B49" s="190"/>
      <c r="C49" s="190"/>
      <c r="D49" s="190"/>
      <c r="E49" s="190"/>
      <c r="F49" s="190"/>
      <c r="G49" s="190"/>
      <c r="H49" s="190"/>
      <c r="I49" s="190"/>
      <c r="J49" s="190"/>
      <c r="K49" s="190"/>
      <c r="L49" s="191"/>
      <c r="M49" s="190"/>
      <c r="N49" s="190"/>
    </row>
    <row r="50" spans="1:15" s="194" customFormat="1" ht="13.5" x14ac:dyDescent="0.3">
      <c r="A50" s="192" t="s">
        <v>390</v>
      </c>
      <c r="B50" s="193"/>
      <c r="C50" s="193"/>
      <c r="D50" s="193"/>
      <c r="E50" s="193"/>
      <c r="F50" s="193"/>
      <c r="G50" s="193"/>
      <c r="H50" s="193"/>
      <c r="I50" s="193"/>
      <c r="J50" s="193"/>
      <c r="K50" s="193"/>
      <c r="L50" s="193"/>
      <c r="M50" s="193"/>
      <c r="N50" s="193"/>
      <c r="O50" s="193"/>
    </row>
    <row r="51" spans="1:15" s="194" customFormat="1" ht="13.5" x14ac:dyDescent="0.3">
      <c r="A51" s="192" t="s">
        <v>294</v>
      </c>
      <c r="B51" s="193"/>
      <c r="C51" s="193"/>
      <c r="D51" s="193"/>
      <c r="E51" s="193"/>
      <c r="F51" s="193"/>
      <c r="G51" s="193"/>
      <c r="H51" s="193"/>
      <c r="I51" s="193"/>
      <c r="J51" s="193"/>
      <c r="K51" s="193"/>
      <c r="L51" s="193"/>
      <c r="M51" s="193"/>
      <c r="N51" s="193"/>
      <c r="O51" s="193"/>
    </row>
    <row r="52" spans="1:15" s="194" customFormat="1" ht="13.5" x14ac:dyDescent="0.3">
      <c r="A52" s="195" t="s">
        <v>295</v>
      </c>
      <c r="B52" s="193"/>
      <c r="C52" s="193"/>
      <c r="D52" s="193"/>
      <c r="E52" s="193"/>
      <c r="F52" s="193"/>
      <c r="G52" s="193"/>
      <c r="H52" s="193"/>
      <c r="I52" s="193"/>
      <c r="J52" s="193"/>
      <c r="K52" s="193"/>
      <c r="L52" s="193"/>
      <c r="M52" s="193"/>
      <c r="N52" s="193"/>
      <c r="O52" s="193"/>
    </row>
    <row r="53" spans="1:15" x14ac:dyDescent="0.3">
      <c r="A53" s="195"/>
    </row>
  </sheetData>
  <mergeCells count="4">
    <mergeCell ref="A1:O1"/>
    <mergeCell ref="A2:O2"/>
    <mergeCell ref="A3:O3"/>
    <mergeCell ref="A4:O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23"/>
  <sheetViews>
    <sheetView showGridLines="0" zoomScaleNormal="100" workbookViewId="0">
      <pane ySplit="6" topLeftCell="A7" activePane="bottomLeft" state="frozen"/>
      <selection pane="bottomLeft" activeCell="A7" sqref="A7"/>
    </sheetView>
  </sheetViews>
  <sheetFormatPr defaultRowHeight="16.5" x14ac:dyDescent="0.3"/>
  <cols>
    <col min="1" max="1" width="20.42578125" style="90" customWidth="1"/>
    <col min="2" max="2" width="18.7109375" style="76" bestFit="1" customWidth="1"/>
    <col min="3" max="3" width="15.28515625" style="87" customWidth="1"/>
    <col min="4" max="4" width="21.28515625" style="88" bestFit="1" customWidth="1"/>
    <col min="5" max="5" width="16.140625" style="88" customWidth="1"/>
    <col min="6" max="6" width="14.42578125" style="88" customWidth="1"/>
    <col min="7" max="7" width="12.28515625" style="76" customWidth="1"/>
    <col min="8" max="8" width="13.5703125" style="87" customWidth="1"/>
    <col min="9" max="9" width="18" style="89" customWidth="1"/>
    <col min="10" max="16384" width="9.140625" style="76"/>
  </cols>
  <sheetData>
    <row r="1" spans="1:57" s="397" customFormat="1" ht="18" customHeight="1" x14ac:dyDescent="0.35">
      <c r="A1" s="450" t="s">
        <v>48</v>
      </c>
      <c r="B1" s="450"/>
      <c r="C1" s="450"/>
      <c r="D1" s="450"/>
      <c r="E1" s="450"/>
      <c r="F1" s="450"/>
      <c r="G1" s="450"/>
      <c r="H1" s="450"/>
      <c r="I1" s="450"/>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c r="AZ1" s="396"/>
      <c r="BA1" s="396"/>
      <c r="BB1" s="396"/>
      <c r="BC1" s="396"/>
      <c r="BD1" s="396"/>
      <c r="BE1" s="396"/>
    </row>
    <row r="2" spans="1:57" s="397" customFormat="1" ht="18" x14ac:dyDescent="0.35">
      <c r="A2" s="450" t="s">
        <v>49</v>
      </c>
      <c r="B2" s="450"/>
      <c r="C2" s="450"/>
      <c r="D2" s="450"/>
      <c r="E2" s="450"/>
      <c r="F2" s="450"/>
      <c r="G2" s="450"/>
      <c r="H2" s="450"/>
      <c r="I2" s="450"/>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row>
    <row r="3" spans="1:57" s="397" customFormat="1" ht="18" x14ac:dyDescent="0.35">
      <c r="A3" s="450" t="s">
        <v>22</v>
      </c>
      <c r="B3" s="450"/>
      <c r="C3" s="450"/>
      <c r="D3" s="450"/>
      <c r="E3" s="450"/>
      <c r="F3" s="450"/>
      <c r="G3" s="450"/>
      <c r="H3" s="450"/>
      <c r="I3" s="450"/>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row>
    <row r="4" spans="1:57" s="397" customFormat="1" ht="18" x14ac:dyDescent="0.35">
      <c r="A4" s="450" t="s">
        <v>50</v>
      </c>
      <c r="B4" s="450"/>
      <c r="C4" s="450"/>
      <c r="D4" s="450"/>
      <c r="E4" s="450"/>
      <c r="F4" s="450"/>
      <c r="G4" s="450"/>
      <c r="H4" s="450"/>
      <c r="I4" s="450"/>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c r="AZ4" s="396"/>
      <c r="BA4" s="396"/>
      <c r="BB4" s="396"/>
      <c r="BC4" s="396"/>
      <c r="BD4" s="396"/>
      <c r="BE4" s="396"/>
    </row>
    <row r="5" spans="1:57" s="401" customFormat="1" x14ac:dyDescent="0.3">
      <c r="A5" s="398"/>
      <c r="B5" s="399"/>
      <c r="C5" s="399"/>
      <c r="D5" s="399"/>
      <c r="E5" s="399"/>
      <c r="F5" s="399"/>
      <c r="G5" s="399"/>
      <c r="H5" s="399"/>
      <c r="I5" s="399"/>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c r="AO5" s="400"/>
      <c r="AP5" s="400"/>
      <c r="AQ5" s="400"/>
      <c r="AR5" s="400"/>
      <c r="AS5" s="400"/>
      <c r="AT5" s="400"/>
      <c r="AU5" s="400"/>
      <c r="AV5" s="400"/>
      <c r="AW5" s="400"/>
      <c r="AX5" s="400"/>
      <c r="AY5" s="400"/>
      <c r="AZ5" s="400"/>
      <c r="BA5" s="400"/>
      <c r="BB5" s="400"/>
      <c r="BC5" s="400"/>
      <c r="BD5" s="400"/>
      <c r="BE5" s="400"/>
    </row>
    <row r="6" spans="1:57" s="72" customFormat="1" ht="79.5" customHeight="1" x14ac:dyDescent="0.3">
      <c r="A6" s="405" t="s">
        <v>51</v>
      </c>
      <c r="B6" s="406" t="s">
        <v>52</v>
      </c>
      <c r="C6" s="407" t="s">
        <v>53</v>
      </c>
      <c r="D6" s="408" t="s">
        <v>54</v>
      </c>
      <c r="E6" s="407" t="s">
        <v>55</v>
      </c>
      <c r="F6" s="409" t="s">
        <v>56</v>
      </c>
      <c r="G6" s="407" t="s">
        <v>57</v>
      </c>
      <c r="H6" s="410" t="s">
        <v>58</v>
      </c>
      <c r="I6" s="411" t="s">
        <v>59</v>
      </c>
      <c r="J6" s="71"/>
    </row>
    <row r="7" spans="1:57" x14ac:dyDescent="0.3">
      <c r="A7" s="412" t="s">
        <v>60</v>
      </c>
      <c r="B7" s="413">
        <v>159371</v>
      </c>
      <c r="C7" s="414">
        <v>37432</v>
      </c>
      <c r="D7" s="281">
        <v>186905808.62086987</v>
      </c>
      <c r="E7" s="281">
        <f t="shared" ref="E7:E38" si="0">D7/C7</f>
        <v>4993.2092493286464</v>
      </c>
      <c r="F7" s="281">
        <f t="shared" ref="F7:F38" si="1">D7/B7</f>
        <v>1172.7717628732321</v>
      </c>
      <c r="G7" s="261">
        <v>60</v>
      </c>
      <c r="H7" s="261">
        <f>I7*1000</f>
        <v>234.87334584083681</v>
      </c>
      <c r="I7" s="282">
        <f t="shared" ref="I7:I38" si="2">C7/B7</f>
        <v>0.2348733458408368</v>
      </c>
    </row>
    <row r="8" spans="1:57" x14ac:dyDescent="0.3">
      <c r="A8" s="412" t="s">
        <v>61</v>
      </c>
      <c r="B8" s="413">
        <v>38054</v>
      </c>
      <c r="C8" s="414">
        <v>7932</v>
      </c>
      <c r="D8" s="281">
        <v>41428217.620026492</v>
      </c>
      <c r="E8" s="281">
        <f t="shared" si="0"/>
        <v>5222.9220398419684</v>
      </c>
      <c r="F8" s="281">
        <f t="shared" si="1"/>
        <v>1088.6691969313736</v>
      </c>
      <c r="G8" s="261">
        <v>73</v>
      </c>
      <c r="H8" s="261">
        <f t="shared" ref="H8:H71" si="3">I8*1000</f>
        <v>208.44063698954119</v>
      </c>
      <c r="I8" s="282">
        <f t="shared" si="2"/>
        <v>0.20844063698954118</v>
      </c>
    </row>
    <row r="9" spans="1:57" x14ac:dyDescent="0.3">
      <c r="A9" s="412" t="s">
        <v>62</v>
      </c>
      <c r="B9" s="413">
        <v>11255</v>
      </c>
      <c r="C9" s="414">
        <v>2820</v>
      </c>
      <c r="D9" s="281">
        <v>16289156.6300082</v>
      </c>
      <c r="E9" s="281">
        <f t="shared" si="0"/>
        <v>5776.2966773078724</v>
      </c>
      <c r="F9" s="281">
        <f t="shared" si="1"/>
        <v>1447.2817974240959</v>
      </c>
      <c r="G9" s="261">
        <v>30</v>
      </c>
      <c r="H9" s="261">
        <f t="shared" si="3"/>
        <v>250.55530875166593</v>
      </c>
      <c r="I9" s="282">
        <f t="shared" si="2"/>
        <v>0.25055530875166593</v>
      </c>
    </row>
    <row r="10" spans="1:57" x14ac:dyDescent="0.3">
      <c r="A10" s="412" t="s">
        <v>63</v>
      </c>
      <c r="B10" s="413">
        <v>26155</v>
      </c>
      <c r="C10" s="414">
        <v>8182</v>
      </c>
      <c r="D10" s="281">
        <v>45702620.519978039</v>
      </c>
      <c r="E10" s="281">
        <f t="shared" si="0"/>
        <v>5585.7517135147937</v>
      </c>
      <c r="F10" s="281">
        <f t="shared" si="1"/>
        <v>1747.3760474088335</v>
      </c>
      <c r="G10" s="261">
        <v>13</v>
      </c>
      <c r="H10" s="261">
        <f t="shared" si="3"/>
        <v>312.82737526285604</v>
      </c>
      <c r="I10" s="282">
        <f t="shared" si="2"/>
        <v>0.31282737526285603</v>
      </c>
    </row>
    <row r="11" spans="1:57" x14ac:dyDescent="0.3">
      <c r="A11" s="412" t="s">
        <v>64</v>
      </c>
      <c r="B11" s="413">
        <v>27318</v>
      </c>
      <c r="C11" s="414">
        <v>6246</v>
      </c>
      <c r="D11" s="281">
        <v>38108359.740004301</v>
      </c>
      <c r="E11" s="281">
        <f t="shared" si="0"/>
        <v>6101.2423535069329</v>
      </c>
      <c r="F11" s="281">
        <f t="shared" si="1"/>
        <v>1394.9908390074054</v>
      </c>
      <c r="G11" s="261">
        <v>35</v>
      </c>
      <c r="H11" s="261">
        <f t="shared" si="3"/>
        <v>228.64045684164287</v>
      </c>
      <c r="I11" s="282">
        <f t="shared" si="2"/>
        <v>0.22864045684164289</v>
      </c>
    </row>
    <row r="12" spans="1:57" x14ac:dyDescent="0.3">
      <c r="A12" s="412" t="s">
        <v>65</v>
      </c>
      <c r="B12" s="413">
        <v>17837</v>
      </c>
      <c r="C12" s="414">
        <v>3553</v>
      </c>
      <c r="D12" s="281">
        <v>20579102.750003427</v>
      </c>
      <c r="E12" s="281">
        <f t="shared" si="0"/>
        <v>5792.0356740792085</v>
      </c>
      <c r="F12" s="281">
        <f t="shared" si="1"/>
        <v>1153.7311627517759</v>
      </c>
      <c r="G12" s="261">
        <v>66</v>
      </c>
      <c r="H12" s="261">
        <f t="shared" si="3"/>
        <v>199.19268935359085</v>
      </c>
      <c r="I12" s="282">
        <f t="shared" si="2"/>
        <v>0.19919268935359086</v>
      </c>
    </row>
    <row r="13" spans="1:57" x14ac:dyDescent="0.3">
      <c r="A13" s="412" t="s">
        <v>66</v>
      </c>
      <c r="B13" s="413">
        <v>47827</v>
      </c>
      <c r="C13" s="414">
        <v>13180</v>
      </c>
      <c r="D13" s="281">
        <v>72103078.9399928</v>
      </c>
      <c r="E13" s="281">
        <f t="shared" si="0"/>
        <v>5470.643318664097</v>
      </c>
      <c r="F13" s="281">
        <f t="shared" si="1"/>
        <v>1507.5810512888704</v>
      </c>
      <c r="G13" s="261">
        <v>24</v>
      </c>
      <c r="H13" s="261">
        <f t="shared" si="3"/>
        <v>275.57655717481754</v>
      </c>
      <c r="I13" s="282">
        <f t="shared" si="2"/>
        <v>0.27557655717481755</v>
      </c>
    </row>
    <row r="14" spans="1:57" x14ac:dyDescent="0.3">
      <c r="A14" s="412" t="s">
        <v>67</v>
      </c>
      <c r="B14" s="413">
        <v>20413</v>
      </c>
      <c r="C14" s="414">
        <v>6445</v>
      </c>
      <c r="D14" s="281">
        <v>37904890.850022078</v>
      </c>
      <c r="E14" s="281">
        <f t="shared" si="0"/>
        <v>5881.2864003137438</v>
      </c>
      <c r="F14" s="281">
        <f t="shared" si="1"/>
        <v>1856.8995664538322</v>
      </c>
      <c r="G14" s="261">
        <v>8</v>
      </c>
      <c r="H14" s="261">
        <f t="shared" si="3"/>
        <v>315.73017194924802</v>
      </c>
      <c r="I14" s="282">
        <f t="shared" si="2"/>
        <v>0.31573017194924802</v>
      </c>
    </row>
    <row r="15" spans="1:57" x14ac:dyDescent="0.3">
      <c r="A15" s="412" t="s">
        <v>68</v>
      </c>
      <c r="B15" s="413">
        <v>35011</v>
      </c>
      <c r="C15" s="414">
        <v>10566</v>
      </c>
      <c r="D15" s="281">
        <v>60502742.329977147</v>
      </c>
      <c r="E15" s="281">
        <f t="shared" si="0"/>
        <v>5726.1728497044433</v>
      </c>
      <c r="F15" s="281">
        <f t="shared" si="1"/>
        <v>1728.1066616199807</v>
      </c>
      <c r="G15" s="261">
        <v>14</v>
      </c>
      <c r="H15" s="261">
        <f t="shared" si="3"/>
        <v>301.79086572791408</v>
      </c>
      <c r="I15" s="282">
        <f t="shared" si="2"/>
        <v>0.30179086572791408</v>
      </c>
    </row>
    <row r="16" spans="1:57" x14ac:dyDescent="0.3">
      <c r="A16" s="412" t="s">
        <v>69</v>
      </c>
      <c r="B16" s="413">
        <v>125712</v>
      </c>
      <c r="C16" s="414">
        <v>25237</v>
      </c>
      <c r="D16" s="281">
        <v>119327764.58022457</v>
      </c>
      <c r="E16" s="281">
        <f t="shared" si="0"/>
        <v>4728.2864278727493</v>
      </c>
      <c r="F16" s="281">
        <f t="shared" si="1"/>
        <v>949.21538580425556</v>
      </c>
      <c r="G16" s="261">
        <v>86</v>
      </c>
      <c r="H16" s="261">
        <f t="shared" si="3"/>
        <v>200.75251368206696</v>
      </c>
      <c r="I16" s="282">
        <f t="shared" si="2"/>
        <v>0.20075251368206695</v>
      </c>
    </row>
    <row r="17" spans="1:9" x14ac:dyDescent="0.3">
      <c r="A17" s="412" t="s">
        <v>70</v>
      </c>
      <c r="B17" s="413">
        <v>257931</v>
      </c>
      <c r="C17" s="414">
        <v>53168</v>
      </c>
      <c r="D17" s="281">
        <v>273834786.89336765</v>
      </c>
      <c r="E17" s="281">
        <f t="shared" si="0"/>
        <v>5150.3683962791083</v>
      </c>
      <c r="F17" s="281">
        <f t="shared" si="1"/>
        <v>1061.6590750757669</v>
      </c>
      <c r="G17" s="261">
        <v>75</v>
      </c>
      <c r="H17" s="261">
        <f t="shared" si="3"/>
        <v>206.13264787869622</v>
      </c>
      <c r="I17" s="282">
        <f t="shared" si="2"/>
        <v>0.20613264787869623</v>
      </c>
    </row>
    <row r="18" spans="1:9" x14ac:dyDescent="0.3">
      <c r="A18" s="412" t="s">
        <v>71</v>
      </c>
      <c r="B18" s="413">
        <v>89274</v>
      </c>
      <c r="C18" s="414">
        <v>22839</v>
      </c>
      <c r="D18" s="281">
        <v>121192924.39963993</v>
      </c>
      <c r="E18" s="281">
        <f t="shared" si="0"/>
        <v>5306.4023993887622</v>
      </c>
      <c r="F18" s="281">
        <f t="shared" si="1"/>
        <v>1357.5388623747108</v>
      </c>
      <c r="G18" s="261">
        <v>40</v>
      </c>
      <c r="H18" s="261">
        <f t="shared" si="3"/>
        <v>255.83036494388062</v>
      </c>
      <c r="I18" s="282">
        <f t="shared" si="2"/>
        <v>0.25583036494388062</v>
      </c>
    </row>
    <row r="19" spans="1:9" x14ac:dyDescent="0.3">
      <c r="A19" s="412" t="s">
        <v>72</v>
      </c>
      <c r="B19" s="413">
        <v>200595</v>
      </c>
      <c r="C19" s="414">
        <v>40945</v>
      </c>
      <c r="D19" s="281">
        <v>181684679.45104191</v>
      </c>
      <c r="E19" s="281">
        <f t="shared" si="0"/>
        <v>4437.2861021136132</v>
      </c>
      <c r="F19" s="281">
        <f t="shared" si="1"/>
        <v>905.72885391481293</v>
      </c>
      <c r="G19" s="261">
        <v>88</v>
      </c>
      <c r="H19" s="261">
        <f t="shared" si="3"/>
        <v>204.11774969465841</v>
      </c>
      <c r="I19" s="282">
        <f t="shared" si="2"/>
        <v>0.2041177496946584</v>
      </c>
    </row>
    <row r="20" spans="1:9" x14ac:dyDescent="0.3">
      <c r="A20" s="412" t="s">
        <v>73</v>
      </c>
      <c r="B20" s="413">
        <v>82691</v>
      </c>
      <c r="C20" s="414">
        <v>22637</v>
      </c>
      <c r="D20" s="281">
        <v>116823312.42960887</v>
      </c>
      <c r="E20" s="281">
        <f t="shared" si="0"/>
        <v>5160.724143199579</v>
      </c>
      <c r="F20" s="281">
        <f t="shared" si="1"/>
        <v>1412.7693755016733</v>
      </c>
      <c r="G20" s="261">
        <v>33</v>
      </c>
      <c r="H20" s="261">
        <f t="shared" si="3"/>
        <v>273.75409657641097</v>
      </c>
      <c r="I20" s="282">
        <f t="shared" si="2"/>
        <v>0.27375409657641098</v>
      </c>
    </row>
    <row r="21" spans="1:9" x14ac:dyDescent="0.3">
      <c r="A21" s="412" t="s">
        <v>74</v>
      </c>
      <c r="B21" s="413">
        <v>10223</v>
      </c>
      <c r="C21" s="414">
        <v>1367</v>
      </c>
      <c r="D21" s="281">
        <v>6011868.6499978537</v>
      </c>
      <c r="E21" s="281">
        <f t="shared" si="0"/>
        <v>4397.8556327709248</v>
      </c>
      <c r="F21" s="281">
        <f t="shared" si="1"/>
        <v>588.07284065321858</v>
      </c>
      <c r="G21" s="261">
        <v>99</v>
      </c>
      <c r="H21" s="261">
        <f t="shared" si="3"/>
        <v>133.7180866673188</v>
      </c>
      <c r="I21" s="282">
        <f t="shared" si="2"/>
        <v>0.1337180866673188</v>
      </c>
    </row>
    <row r="22" spans="1:9" x14ac:dyDescent="0.3">
      <c r="A22" s="412" t="s">
        <v>75</v>
      </c>
      <c r="B22" s="413">
        <v>70115</v>
      </c>
      <c r="C22" s="414">
        <v>13548</v>
      </c>
      <c r="D22" s="281">
        <v>67550579.6299752</v>
      </c>
      <c r="E22" s="281">
        <f t="shared" si="0"/>
        <v>4986.0185732193095</v>
      </c>
      <c r="F22" s="281">
        <f t="shared" si="1"/>
        <v>963.42550994758892</v>
      </c>
      <c r="G22" s="261">
        <v>84</v>
      </c>
      <c r="H22" s="261">
        <f t="shared" si="3"/>
        <v>193.22541538900379</v>
      </c>
      <c r="I22" s="282">
        <f t="shared" si="2"/>
        <v>0.19322541538900379</v>
      </c>
    </row>
    <row r="23" spans="1:9" x14ac:dyDescent="0.3">
      <c r="A23" s="412" t="s">
        <v>76</v>
      </c>
      <c r="B23" s="413">
        <v>23615</v>
      </c>
      <c r="C23" s="414">
        <v>6308</v>
      </c>
      <c r="D23" s="281">
        <v>30501690.14999048</v>
      </c>
      <c r="E23" s="281">
        <f t="shared" si="0"/>
        <v>4835.3979311969688</v>
      </c>
      <c r="F23" s="281">
        <f t="shared" si="1"/>
        <v>1291.6235507088918</v>
      </c>
      <c r="G23" s="261">
        <v>46</v>
      </c>
      <c r="H23" s="261">
        <f t="shared" si="3"/>
        <v>267.11835697649798</v>
      </c>
      <c r="I23" s="282">
        <f t="shared" si="2"/>
        <v>0.26711835697649799</v>
      </c>
    </row>
    <row r="24" spans="1:9" x14ac:dyDescent="0.3">
      <c r="A24" s="412" t="s">
        <v>77</v>
      </c>
      <c r="B24" s="413">
        <v>156106</v>
      </c>
      <c r="C24" s="414">
        <v>36294</v>
      </c>
      <c r="D24" s="281">
        <v>182231728.56059682</v>
      </c>
      <c r="E24" s="281">
        <f t="shared" si="0"/>
        <v>5020.9877269134522</v>
      </c>
      <c r="F24" s="281">
        <f t="shared" si="1"/>
        <v>1167.3589007507517</v>
      </c>
      <c r="G24" s="261">
        <v>62</v>
      </c>
      <c r="H24" s="261">
        <f t="shared" si="3"/>
        <v>232.49586819212587</v>
      </c>
      <c r="I24" s="282">
        <f t="shared" si="2"/>
        <v>0.23249586819212587</v>
      </c>
    </row>
    <row r="25" spans="1:9" x14ac:dyDescent="0.3">
      <c r="A25" s="412" t="s">
        <v>78</v>
      </c>
      <c r="B25" s="413">
        <v>73176</v>
      </c>
      <c r="C25" s="414">
        <v>10759</v>
      </c>
      <c r="D25" s="281">
        <v>54973760.639953777</v>
      </c>
      <c r="E25" s="281">
        <f t="shared" si="0"/>
        <v>5109.5604275447322</v>
      </c>
      <c r="F25" s="281">
        <f t="shared" si="1"/>
        <v>751.25397179339916</v>
      </c>
      <c r="G25" s="261">
        <v>93</v>
      </c>
      <c r="H25" s="261">
        <f t="shared" si="3"/>
        <v>147.02908057286544</v>
      </c>
      <c r="I25" s="282">
        <f t="shared" si="2"/>
        <v>0.14702908057286543</v>
      </c>
    </row>
    <row r="26" spans="1:9" x14ac:dyDescent="0.3">
      <c r="A26" s="412" t="s">
        <v>79</v>
      </c>
      <c r="B26" s="413">
        <v>27878</v>
      </c>
      <c r="C26" s="414">
        <v>7789</v>
      </c>
      <c r="D26" s="281">
        <v>42532624.800047047</v>
      </c>
      <c r="E26" s="281">
        <f t="shared" si="0"/>
        <v>5460.6014636085565</v>
      </c>
      <c r="F26" s="281">
        <f t="shared" si="1"/>
        <v>1525.6698758894845</v>
      </c>
      <c r="G26" s="261">
        <v>23</v>
      </c>
      <c r="H26" s="261">
        <f t="shared" si="3"/>
        <v>279.39593945046272</v>
      </c>
      <c r="I26" s="282">
        <f t="shared" si="2"/>
        <v>0.2793959394504627</v>
      </c>
    </row>
    <row r="27" spans="1:9" x14ac:dyDescent="0.3">
      <c r="A27" s="412" t="s">
        <v>80</v>
      </c>
      <c r="B27" s="413">
        <v>14418</v>
      </c>
      <c r="C27" s="414">
        <v>3985</v>
      </c>
      <c r="D27" s="281">
        <v>22340493.440001976</v>
      </c>
      <c r="E27" s="281">
        <f t="shared" si="0"/>
        <v>5606.1464090343725</v>
      </c>
      <c r="F27" s="281">
        <f t="shared" si="1"/>
        <v>1549.4862976835882</v>
      </c>
      <c r="G27" s="261">
        <v>20</v>
      </c>
      <c r="H27" s="261">
        <f t="shared" si="3"/>
        <v>276.39062283257039</v>
      </c>
      <c r="I27" s="282">
        <f t="shared" si="2"/>
        <v>0.27639062283257038</v>
      </c>
    </row>
    <row r="28" spans="1:9" x14ac:dyDescent="0.3">
      <c r="A28" s="412" t="s">
        <v>81</v>
      </c>
      <c r="B28" s="413">
        <v>11089</v>
      </c>
      <c r="C28" s="414">
        <v>2719</v>
      </c>
      <c r="D28" s="281">
        <v>14262626.469999293</v>
      </c>
      <c r="E28" s="281">
        <f t="shared" si="0"/>
        <v>5245.5411805808362</v>
      </c>
      <c r="F28" s="281">
        <f t="shared" si="1"/>
        <v>1286.195912165145</v>
      </c>
      <c r="G28" s="261">
        <v>47</v>
      </c>
      <c r="H28" s="261">
        <f t="shared" si="3"/>
        <v>245.19794390837768</v>
      </c>
      <c r="I28" s="282">
        <f t="shared" si="2"/>
        <v>0.24519794390837768</v>
      </c>
    </row>
    <row r="29" spans="1:9" x14ac:dyDescent="0.3">
      <c r="A29" s="412" t="s">
        <v>82</v>
      </c>
      <c r="B29" s="413">
        <v>97997</v>
      </c>
      <c r="C29" s="414">
        <v>30968</v>
      </c>
      <c r="D29" s="281">
        <v>168553085.0104349</v>
      </c>
      <c r="E29" s="281">
        <f t="shared" si="0"/>
        <v>5442.8146800062932</v>
      </c>
      <c r="F29" s="281">
        <f t="shared" si="1"/>
        <v>1719.9820913949907</v>
      </c>
      <c r="G29" s="261">
        <v>15</v>
      </c>
      <c r="H29" s="261">
        <f t="shared" si="3"/>
        <v>316.00967376552342</v>
      </c>
      <c r="I29" s="282">
        <f t="shared" si="2"/>
        <v>0.31600967376552341</v>
      </c>
    </row>
    <row r="30" spans="1:9" x14ac:dyDescent="0.3">
      <c r="A30" s="412" t="s">
        <v>83</v>
      </c>
      <c r="B30" s="413">
        <v>57095</v>
      </c>
      <c r="C30" s="414">
        <v>19428</v>
      </c>
      <c r="D30" s="281">
        <v>102097573.33022156</v>
      </c>
      <c r="E30" s="281">
        <f t="shared" si="0"/>
        <v>5255.1767207237781</v>
      </c>
      <c r="F30" s="281">
        <f t="shared" si="1"/>
        <v>1788.2051550962706</v>
      </c>
      <c r="G30" s="261">
        <v>10</v>
      </c>
      <c r="H30" s="261">
        <f t="shared" si="3"/>
        <v>340.27498029599792</v>
      </c>
      <c r="I30" s="282">
        <f t="shared" si="2"/>
        <v>0.3402749802959979</v>
      </c>
    </row>
    <row r="31" spans="1:9" x14ac:dyDescent="0.3">
      <c r="A31" s="412" t="s">
        <v>84</v>
      </c>
      <c r="B31" s="413">
        <v>103256</v>
      </c>
      <c r="C31" s="414">
        <v>22491</v>
      </c>
      <c r="D31" s="281">
        <v>106079785.10020842</v>
      </c>
      <c r="E31" s="281">
        <f t="shared" si="0"/>
        <v>4716.5437330580417</v>
      </c>
      <c r="F31" s="281">
        <f t="shared" si="1"/>
        <v>1027.3474190382003</v>
      </c>
      <c r="G31" s="261">
        <v>76</v>
      </c>
      <c r="H31" s="261">
        <f t="shared" si="3"/>
        <v>217.81785077864723</v>
      </c>
      <c r="I31" s="282">
        <f t="shared" si="2"/>
        <v>0.21781785077864724</v>
      </c>
    </row>
    <row r="32" spans="1:9" x14ac:dyDescent="0.3">
      <c r="A32" s="412" t="s">
        <v>85</v>
      </c>
      <c r="B32" s="413">
        <v>327820</v>
      </c>
      <c r="C32" s="414">
        <v>91999</v>
      </c>
      <c r="D32" s="281">
        <v>433329650.02925456</v>
      </c>
      <c r="E32" s="281">
        <f t="shared" si="0"/>
        <v>4710.1560889711254</v>
      </c>
      <c r="F32" s="281">
        <f t="shared" si="1"/>
        <v>1321.852388595127</v>
      </c>
      <c r="G32" s="261">
        <v>43</v>
      </c>
      <c r="H32" s="261">
        <f t="shared" si="3"/>
        <v>280.63876517601119</v>
      </c>
      <c r="I32" s="282">
        <f t="shared" si="2"/>
        <v>0.28063876517601122</v>
      </c>
    </row>
    <row r="33" spans="1:9" x14ac:dyDescent="0.3">
      <c r="A33" s="412" t="s">
        <v>86</v>
      </c>
      <c r="B33" s="413">
        <v>26194</v>
      </c>
      <c r="C33" s="414">
        <v>3554</v>
      </c>
      <c r="D33" s="281">
        <v>16566207.100003077</v>
      </c>
      <c r="E33" s="281">
        <f t="shared" si="0"/>
        <v>4661.2850590892167</v>
      </c>
      <c r="F33" s="281">
        <f t="shared" si="1"/>
        <v>632.44281514862473</v>
      </c>
      <c r="G33" s="261">
        <v>97</v>
      </c>
      <c r="H33" s="261">
        <f t="shared" si="3"/>
        <v>135.67992670077118</v>
      </c>
      <c r="I33" s="282">
        <f t="shared" si="2"/>
        <v>0.13567992670077117</v>
      </c>
    </row>
    <row r="34" spans="1:9" x14ac:dyDescent="0.3">
      <c r="A34" s="412" t="s">
        <v>87</v>
      </c>
      <c r="B34" s="413">
        <v>36411</v>
      </c>
      <c r="C34" s="414">
        <v>5713</v>
      </c>
      <c r="D34" s="281">
        <v>24136620.91999691</v>
      </c>
      <c r="E34" s="281">
        <f t="shared" si="0"/>
        <v>4224.8592543316836</v>
      </c>
      <c r="F34" s="281">
        <f t="shared" si="1"/>
        <v>662.89365631256794</v>
      </c>
      <c r="G34" s="261">
        <v>96</v>
      </c>
      <c r="H34" s="261">
        <f t="shared" si="3"/>
        <v>156.90313366839692</v>
      </c>
      <c r="I34" s="282">
        <f t="shared" si="2"/>
        <v>0.15690313366839692</v>
      </c>
    </row>
    <row r="35" spans="1:9" x14ac:dyDescent="0.3">
      <c r="A35" s="412" t="s">
        <v>88</v>
      </c>
      <c r="B35" s="413">
        <v>165953</v>
      </c>
      <c r="C35" s="414">
        <v>37861</v>
      </c>
      <c r="D35" s="281">
        <v>193534337.63124642</v>
      </c>
      <c r="E35" s="281">
        <f t="shared" si="0"/>
        <v>5111.7069710585147</v>
      </c>
      <c r="F35" s="281">
        <f t="shared" si="1"/>
        <v>1166.1996928723579</v>
      </c>
      <c r="G35" s="261">
        <v>63</v>
      </c>
      <c r="H35" s="261">
        <f t="shared" si="3"/>
        <v>228.1429079317638</v>
      </c>
      <c r="I35" s="282">
        <f t="shared" si="2"/>
        <v>0.22814290793176381</v>
      </c>
    </row>
    <row r="36" spans="1:9" x14ac:dyDescent="0.3">
      <c r="A36" s="412" t="s">
        <v>89</v>
      </c>
      <c r="B36" s="413">
        <v>41989</v>
      </c>
      <c r="C36" s="414">
        <v>7783</v>
      </c>
      <c r="D36" s="281">
        <v>39096800.980037242</v>
      </c>
      <c r="E36" s="281">
        <f t="shared" si="0"/>
        <v>5023.3587280017018</v>
      </c>
      <c r="F36" s="281">
        <f t="shared" si="1"/>
        <v>931.12007859289918</v>
      </c>
      <c r="G36" s="261">
        <v>87</v>
      </c>
      <c r="H36" s="261">
        <f t="shared" si="3"/>
        <v>185.35806997070662</v>
      </c>
      <c r="I36" s="282">
        <f t="shared" si="2"/>
        <v>0.18535806997070661</v>
      </c>
    </row>
    <row r="37" spans="1:9" x14ac:dyDescent="0.3">
      <c r="A37" s="412" t="s">
        <v>90</v>
      </c>
      <c r="B37" s="413">
        <v>59868</v>
      </c>
      <c r="C37" s="414">
        <v>16829</v>
      </c>
      <c r="D37" s="281">
        <v>73985921.779906511</v>
      </c>
      <c r="E37" s="281">
        <f t="shared" si="0"/>
        <v>4396.3350038568251</v>
      </c>
      <c r="F37" s="281">
        <f t="shared" si="1"/>
        <v>1235.81749482038</v>
      </c>
      <c r="G37" s="261">
        <v>54</v>
      </c>
      <c r="H37" s="261">
        <f t="shared" si="3"/>
        <v>281.10175719917152</v>
      </c>
      <c r="I37" s="282">
        <f t="shared" si="2"/>
        <v>0.28110175719917152</v>
      </c>
    </row>
    <row r="38" spans="1:9" x14ac:dyDescent="0.3">
      <c r="A38" s="412" t="s">
        <v>91</v>
      </c>
      <c r="B38" s="413">
        <v>302332</v>
      </c>
      <c r="C38" s="414">
        <v>62423</v>
      </c>
      <c r="D38" s="281">
        <v>306139350.6180383</v>
      </c>
      <c r="E38" s="281">
        <f t="shared" si="0"/>
        <v>4904.2716725892424</v>
      </c>
      <c r="F38" s="281">
        <f t="shared" si="1"/>
        <v>1012.5932769870152</v>
      </c>
      <c r="G38" s="261">
        <v>81</v>
      </c>
      <c r="H38" s="261">
        <f t="shared" si="3"/>
        <v>206.4716933702023</v>
      </c>
      <c r="I38" s="282">
        <f t="shared" si="2"/>
        <v>0.2064716933702023</v>
      </c>
    </row>
    <row r="39" spans="1:9" x14ac:dyDescent="0.3">
      <c r="A39" s="412" t="s">
        <v>92</v>
      </c>
      <c r="B39" s="413">
        <v>54248</v>
      </c>
      <c r="C39" s="414">
        <v>21413</v>
      </c>
      <c r="D39" s="281">
        <v>100405527.73026146</v>
      </c>
      <c r="E39" s="281">
        <f t="shared" ref="E39:E70" si="4">D39/C39</f>
        <v>4688.9986330855772</v>
      </c>
      <c r="F39" s="281">
        <f t="shared" ref="F39:F70" si="5">D39/B39</f>
        <v>1850.8613724056456</v>
      </c>
      <c r="G39" s="261">
        <v>9</v>
      </c>
      <c r="H39" s="261">
        <f t="shared" si="3"/>
        <v>394.72422946468072</v>
      </c>
      <c r="I39" s="282">
        <f t="shared" ref="I39:I70" si="6">C39/B39</f>
        <v>0.39472422946468072</v>
      </c>
    </row>
    <row r="40" spans="1:9" x14ac:dyDescent="0.3">
      <c r="A40" s="412" t="s">
        <v>93</v>
      </c>
      <c r="B40" s="413">
        <v>369688</v>
      </c>
      <c r="C40" s="414">
        <v>86582</v>
      </c>
      <c r="D40" s="281">
        <v>392647037.98105508</v>
      </c>
      <c r="E40" s="281">
        <f t="shared" si="4"/>
        <v>4534.9730657764321</v>
      </c>
      <c r="F40" s="281">
        <f t="shared" si="5"/>
        <v>1062.1038226316653</v>
      </c>
      <c r="G40" s="261">
        <v>74</v>
      </c>
      <c r="H40" s="261">
        <f t="shared" si="3"/>
        <v>234.20289541451169</v>
      </c>
      <c r="I40" s="282">
        <f t="shared" si="6"/>
        <v>0.2342028954145117</v>
      </c>
    </row>
    <row r="41" spans="1:9" x14ac:dyDescent="0.3">
      <c r="A41" s="412" t="s">
        <v>94</v>
      </c>
      <c r="B41" s="413">
        <v>64925</v>
      </c>
      <c r="C41" s="414">
        <v>15108</v>
      </c>
      <c r="D41" s="281">
        <v>72883903.789864674</v>
      </c>
      <c r="E41" s="281">
        <f t="shared" si="4"/>
        <v>4824.1927316563861</v>
      </c>
      <c r="F41" s="281">
        <f t="shared" si="5"/>
        <v>1122.5861192123939</v>
      </c>
      <c r="G41" s="261">
        <v>69</v>
      </c>
      <c r="H41" s="261">
        <f t="shared" si="3"/>
        <v>232.69926838659993</v>
      </c>
      <c r="I41" s="282">
        <f t="shared" si="6"/>
        <v>0.23269926838659993</v>
      </c>
    </row>
    <row r="42" spans="1:9" x14ac:dyDescent="0.3">
      <c r="A42" s="412" t="s">
        <v>95</v>
      </c>
      <c r="B42" s="413">
        <v>214664</v>
      </c>
      <c r="C42" s="414">
        <v>56720</v>
      </c>
      <c r="D42" s="281">
        <v>294989873.91797787</v>
      </c>
      <c r="E42" s="281">
        <f t="shared" si="4"/>
        <v>5200.808778525703</v>
      </c>
      <c r="F42" s="281">
        <f t="shared" si="5"/>
        <v>1374.1935020216611</v>
      </c>
      <c r="G42" s="261">
        <v>38</v>
      </c>
      <c r="H42" s="261">
        <f t="shared" si="3"/>
        <v>264.22688480602238</v>
      </c>
      <c r="I42" s="282">
        <f t="shared" si="6"/>
        <v>0.26422688480602241</v>
      </c>
    </row>
    <row r="43" spans="1:9" x14ac:dyDescent="0.3">
      <c r="A43" s="412" t="s">
        <v>96</v>
      </c>
      <c r="B43" s="413">
        <v>11701</v>
      </c>
      <c r="C43" s="414">
        <v>2409</v>
      </c>
      <c r="D43" s="281">
        <v>11777600.930003805</v>
      </c>
      <c r="E43" s="281">
        <f t="shared" si="4"/>
        <v>4888.9999709438789</v>
      </c>
      <c r="F43" s="281">
        <f t="shared" si="5"/>
        <v>1006.5465285021627</v>
      </c>
      <c r="G43" s="261">
        <v>82</v>
      </c>
      <c r="H43" s="261">
        <f t="shared" si="3"/>
        <v>205.87983932997182</v>
      </c>
      <c r="I43" s="282">
        <f t="shared" si="6"/>
        <v>0.20587983932997181</v>
      </c>
    </row>
    <row r="44" spans="1:9" x14ac:dyDescent="0.3">
      <c r="A44" s="412" t="s">
        <v>97</v>
      </c>
      <c r="B44" s="413">
        <v>8722</v>
      </c>
      <c r="C44" s="414">
        <v>2707</v>
      </c>
      <c r="D44" s="281">
        <v>17364254.740006398</v>
      </c>
      <c r="E44" s="281">
        <f t="shared" si="4"/>
        <v>6414.5750794260803</v>
      </c>
      <c r="F44" s="281">
        <f t="shared" si="5"/>
        <v>1990.8569983955972</v>
      </c>
      <c r="G44" s="261">
        <v>4</v>
      </c>
      <c r="H44" s="261">
        <f t="shared" si="3"/>
        <v>310.3645952763128</v>
      </c>
      <c r="I44" s="282">
        <f t="shared" si="6"/>
        <v>0.31036459527631277</v>
      </c>
    </row>
    <row r="45" spans="1:9" x14ac:dyDescent="0.3">
      <c r="A45" s="412" t="s">
        <v>98</v>
      </c>
      <c r="B45" s="413">
        <v>58919</v>
      </c>
      <c r="C45" s="414">
        <v>12313</v>
      </c>
      <c r="D45" s="281">
        <v>59835851.199923657</v>
      </c>
      <c r="E45" s="281">
        <f t="shared" si="4"/>
        <v>4859.5672216294697</v>
      </c>
      <c r="F45" s="281">
        <f t="shared" si="5"/>
        <v>1015.5612145474915</v>
      </c>
      <c r="G45" s="261">
        <v>80</v>
      </c>
      <c r="H45" s="261">
        <f t="shared" si="3"/>
        <v>208.98182250207913</v>
      </c>
      <c r="I45" s="282">
        <f t="shared" si="6"/>
        <v>0.20898182250207911</v>
      </c>
    </row>
    <row r="46" spans="1:9" x14ac:dyDescent="0.3">
      <c r="A46" s="412" t="s">
        <v>99</v>
      </c>
      <c r="B46" s="413">
        <v>21073</v>
      </c>
      <c r="C46" s="414">
        <v>5584</v>
      </c>
      <c r="D46" s="281">
        <v>26364331.840002503</v>
      </c>
      <c r="E46" s="281">
        <f t="shared" si="4"/>
        <v>4721.4061318056056</v>
      </c>
      <c r="F46" s="281">
        <f t="shared" si="5"/>
        <v>1251.0953276705975</v>
      </c>
      <c r="G46" s="261">
        <v>50</v>
      </c>
      <c r="H46" s="261">
        <f t="shared" si="3"/>
        <v>264.98362833958146</v>
      </c>
      <c r="I46" s="282">
        <f t="shared" si="6"/>
        <v>0.26498362833958145</v>
      </c>
    </row>
    <row r="47" spans="1:9" x14ac:dyDescent="0.3">
      <c r="A47" s="412" t="s">
        <v>100</v>
      </c>
      <c r="B47" s="413">
        <v>521368</v>
      </c>
      <c r="C47" s="414">
        <v>125202</v>
      </c>
      <c r="D47" s="281">
        <v>534428337.34726751</v>
      </c>
      <c r="E47" s="281">
        <f t="shared" si="4"/>
        <v>4268.5287563079464</v>
      </c>
      <c r="F47" s="281">
        <f t="shared" si="5"/>
        <v>1025.0501322429982</v>
      </c>
      <c r="G47" s="261">
        <v>77</v>
      </c>
      <c r="H47" s="261">
        <f t="shared" si="3"/>
        <v>240.14132052600081</v>
      </c>
      <c r="I47" s="282">
        <f t="shared" si="6"/>
        <v>0.24014132052600082</v>
      </c>
    </row>
    <row r="48" spans="1:9" x14ac:dyDescent="0.3">
      <c r="A48" s="412" t="s">
        <v>101</v>
      </c>
      <c r="B48" s="413">
        <v>52062</v>
      </c>
      <c r="C48" s="414">
        <v>18788</v>
      </c>
      <c r="D48" s="281">
        <v>100633516.43971521</v>
      </c>
      <c r="E48" s="281">
        <f t="shared" si="4"/>
        <v>5356.2655120137961</v>
      </c>
      <c r="F48" s="281">
        <f t="shared" si="5"/>
        <v>1932.9552541146172</v>
      </c>
      <c r="G48" s="261">
        <v>6</v>
      </c>
      <c r="H48" s="261">
        <f t="shared" si="3"/>
        <v>360.87741538934347</v>
      </c>
      <c r="I48" s="282">
        <f t="shared" si="6"/>
        <v>0.36087741538934348</v>
      </c>
    </row>
    <row r="49" spans="1:9" x14ac:dyDescent="0.3">
      <c r="A49" s="412" t="s">
        <v>102</v>
      </c>
      <c r="B49" s="413">
        <v>128597</v>
      </c>
      <c r="C49" s="414">
        <v>29394</v>
      </c>
      <c r="D49" s="281">
        <v>131021210.63946438</v>
      </c>
      <c r="E49" s="281">
        <f t="shared" si="4"/>
        <v>4457.413439459222</v>
      </c>
      <c r="F49" s="281">
        <f t="shared" si="5"/>
        <v>1018.8512223416128</v>
      </c>
      <c r="G49" s="261">
        <v>79</v>
      </c>
      <c r="H49" s="261">
        <f t="shared" si="3"/>
        <v>228.5745390638973</v>
      </c>
      <c r="I49" s="282">
        <f t="shared" si="6"/>
        <v>0.2285745390638973</v>
      </c>
    </row>
    <row r="50" spans="1:9" x14ac:dyDescent="0.3">
      <c r="A50" s="412" t="s">
        <v>103</v>
      </c>
      <c r="B50" s="413">
        <v>61126</v>
      </c>
      <c r="C50" s="414">
        <v>15569</v>
      </c>
      <c r="D50" s="281">
        <v>87198797.349878863</v>
      </c>
      <c r="E50" s="281">
        <f t="shared" si="4"/>
        <v>5600.7962842750894</v>
      </c>
      <c r="F50" s="281">
        <f t="shared" si="5"/>
        <v>1426.5418537100229</v>
      </c>
      <c r="G50" s="261">
        <v>31</v>
      </c>
      <c r="H50" s="261">
        <f t="shared" si="3"/>
        <v>254.7033995353859</v>
      </c>
      <c r="I50" s="282">
        <f t="shared" si="6"/>
        <v>0.2547033995353859</v>
      </c>
    </row>
    <row r="51" spans="1:9" x14ac:dyDescent="0.3">
      <c r="A51" s="412" t="s">
        <v>104</v>
      </c>
      <c r="B51" s="413">
        <v>113806</v>
      </c>
      <c r="C51" s="414">
        <v>20322</v>
      </c>
      <c r="D51" s="281">
        <v>114150352.87948355</v>
      </c>
      <c r="E51" s="281">
        <f t="shared" si="4"/>
        <v>5617.0826138905395</v>
      </c>
      <c r="F51" s="281">
        <f t="shared" si="5"/>
        <v>1003.0257884424683</v>
      </c>
      <c r="G51" s="261">
        <v>83</v>
      </c>
      <c r="H51" s="261">
        <f t="shared" si="3"/>
        <v>178.56703512995801</v>
      </c>
      <c r="I51" s="282">
        <f t="shared" si="6"/>
        <v>0.178567035129958</v>
      </c>
    </row>
    <row r="52" spans="1:9" x14ac:dyDescent="0.3">
      <c r="A52" s="412" t="s">
        <v>105</v>
      </c>
      <c r="B52" s="413">
        <v>24402</v>
      </c>
      <c r="C52" s="414">
        <v>7667</v>
      </c>
      <c r="D52" s="281">
        <v>39848196.71000655</v>
      </c>
      <c r="E52" s="281">
        <f t="shared" si="4"/>
        <v>5197.3649028311656</v>
      </c>
      <c r="F52" s="281">
        <f t="shared" si="5"/>
        <v>1632.9889644294135</v>
      </c>
      <c r="G52" s="261">
        <v>19</v>
      </c>
      <c r="H52" s="261">
        <f t="shared" si="3"/>
        <v>314.19555774116873</v>
      </c>
      <c r="I52" s="282">
        <f t="shared" si="6"/>
        <v>0.31419555774116875</v>
      </c>
    </row>
    <row r="53" spans="1:9" x14ac:dyDescent="0.3">
      <c r="A53" s="412" t="s">
        <v>106</v>
      </c>
      <c r="B53" s="413">
        <v>52833</v>
      </c>
      <c r="C53" s="414">
        <v>15368</v>
      </c>
      <c r="D53" s="281">
        <v>65066520.159837119</v>
      </c>
      <c r="E53" s="281">
        <f t="shared" si="4"/>
        <v>4233.8964185214163</v>
      </c>
      <c r="F53" s="281">
        <f t="shared" si="5"/>
        <v>1231.5507383611969</v>
      </c>
      <c r="G53" s="261">
        <v>55</v>
      </c>
      <c r="H53" s="261">
        <f t="shared" si="3"/>
        <v>290.87880680635209</v>
      </c>
      <c r="I53" s="282">
        <f t="shared" si="6"/>
        <v>0.29087880680635209</v>
      </c>
    </row>
    <row r="54" spans="1:9" x14ac:dyDescent="0.3">
      <c r="A54" s="412" t="s">
        <v>107</v>
      </c>
      <c r="B54" s="413">
        <v>5678</v>
      </c>
      <c r="C54" s="414">
        <v>1374</v>
      </c>
      <c r="D54" s="281">
        <v>6575686.1599971568</v>
      </c>
      <c r="E54" s="281">
        <f t="shared" si="4"/>
        <v>4785.7977874797352</v>
      </c>
      <c r="F54" s="281">
        <f t="shared" si="5"/>
        <v>1158.0990066919967</v>
      </c>
      <c r="G54" s="261">
        <v>64</v>
      </c>
      <c r="H54" s="261">
        <f t="shared" si="3"/>
        <v>241.98661500528354</v>
      </c>
      <c r="I54" s="282">
        <f t="shared" si="6"/>
        <v>0.24198661500528354</v>
      </c>
    </row>
    <row r="55" spans="1:9" x14ac:dyDescent="0.3">
      <c r="A55" s="412" t="s">
        <v>108</v>
      </c>
      <c r="B55" s="413">
        <v>173206</v>
      </c>
      <c r="C55" s="414">
        <v>32330</v>
      </c>
      <c r="D55" s="281">
        <v>156415322.07980755</v>
      </c>
      <c r="E55" s="281">
        <f t="shared" si="4"/>
        <v>4838.0860525767876</v>
      </c>
      <c r="F55" s="281">
        <f t="shared" si="5"/>
        <v>903.05949031677631</v>
      </c>
      <c r="G55" s="261">
        <v>89</v>
      </c>
      <c r="H55" s="261">
        <f t="shared" si="3"/>
        <v>186.6563513966029</v>
      </c>
      <c r="I55" s="282">
        <f t="shared" si="6"/>
        <v>0.18665635139660289</v>
      </c>
    </row>
    <row r="56" spans="1:9" x14ac:dyDescent="0.3">
      <c r="A56" s="412" t="s">
        <v>109</v>
      </c>
      <c r="B56" s="413">
        <v>41909</v>
      </c>
      <c r="C56" s="414">
        <v>8727</v>
      </c>
      <c r="D56" s="281">
        <v>48357066.480056666</v>
      </c>
      <c r="E56" s="281">
        <f t="shared" si="4"/>
        <v>5541.0870264760706</v>
      </c>
      <c r="F56" s="281">
        <f t="shared" si="5"/>
        <v>1153.8587530138316</v>
      </c>
      <c r="G56" s="261">
        <v>65</v>
      </c>
      <c r="H56" s="261">
        <f t="shared" si="3"/>
        <v>208.23689422319788</v>
      </c>
      <c r="I56" s="282">
        <f t="shared" si="6"/>
        <v>0.20823689422319788</v>
      </c>
    </row>
    <row r="57" spans="1:9" x14ac:dyDescent="0.3">
      <c r="A57" s="412" t="s">
        <v>110</v>
      </c>
      <c r="B57" s="413">
        <v>188761</v>
      </c>
      <c r="C57" s="414">
        <v>45927</v>
      </c>
      <c r="D57" s="281">
        <v>206957585.6805639</v>
      </c>
      <c r="E57" s="281">
        <f t="shared" si="4"/>
        <v>4506.2291392985371</v>
      </c>
      <c r="F57" s="281">
        <f t="shared" si="5"/>
        <v>1096.4001339289573</v>
      </c>
      <c r="G57" s="261">
        <v>72</v>
      </c>
      <c r="H57" s="261">
        <f t="shared" si="3"/>
        <v>243.30767478451588</v>
      </c>
      <c r="I57" s="282">
        <f t="shared" si="6"/>
        <v>0.24330767478451587</v>
      </c>
    </row>
    <row r="58" spans="1:9" x14ac:dyDescent="0.3">
      <c r="A58" s="412" t="s">
        <v>111</v>
      </c>
      <c r="B58" s="413">
        <v>10424</v>
      </c>
      <c r="C58" s="414">
        <v>2682</v>
      </c>
      <c r="D58" s="281">
        <v>14587396.700000107</v>
      </c>
      <c r="E58" s="281">
        <f t="shared" si="4"/>
        <v>5438.9995152871388</v>
      </c>
      <c r="F58" s="281">
        <f t="shared" si="5"/>
        <v>1399.4049021488975</v>
      </c>
      <c r="G58" s="261">
        <v>34</v>
      </c>
      <c r="H58" s="261">
        <f t="shared" si="3"/>
        <v>257.29086722947045</v>
      </c>
      <c r="I58" s="282">
        <f t="shared" si="6"/>
        <v>0.25729086722947048</v>
      </c>
    </row>
    <row r="59" spans="1:9" x14ac:dyDescent="0.3">
      <c r="A59" s="412" t="s">
        <v>112</v>
      </c>
      <c r="B59" s="413">
        <v>58907</v>
      </c>
      <c r="C59" s="414">
        <v>16563</v>
      </c>
      <c r="D59" s="281">
        <v>77627802.879787847</v>
      </c>
      <c r="E59" s="281">
        <f t="shared" si="4"/>
        <v>4686.8201943964168</v>
      </c>
      <c r="F59" s="281">
        <f t="shared" si="5"/>
        <v>1317.8026869436203</v>
      </c>
      <c r="G59" s="261">
        <v>44</v>
      </c>
      <c r="H59" s="261">
        <f t="shared" si="3"/>
        <v>281.17201690800755</v>
      </c>
      <c r="I59" s="282">
        <f t="shared" si="6"/>
        <v>0.28117201690800753</v>
      </c>
    </row>
    <row r="60" spans="1:9" x14ac:dyDescent="0.3">
      <c r="A60" s="412" t="s">
        <v>113</v>
      </c>
      <c r="B60" s="413">
        <v>58273</v>
      </c>
      <c r="C60" s="414">
        <v>19406</v>
      </c>
      <c r="D60" s="281">
        <v>98371111.82019034</v>
      </c>
      <c r="E60" s="281">
        <f t="shared" si="4"/>
        <v>5069.1081016278649</v>
      </c>
      <c r="F60" s="281">
        <f t="shared" si="5"/>
        <v>1688.1079028055933</v>
      </c>
      <c r="G60" s="261">
        <v>16</v>
      </c>
      <c r="H60" s="261">
        <f t="shared" si="3"/>
        <v>333.01872222126889</v>
      </c>
      <c r="I60" s="282">
        <f t="shared" si="6"/>
        <v>0.33301872222126888</v>
      </c>
    </row>
    <row r="61" spans="1:9" x14ac:dyDescent="0.3">
      <c r="A61" s="412" t="s">
        <v>114</v>
      </c>
      <c r="B61" s="413">
        <v>82475</v>
      </c>
      <c r="C61" s="414">
        <v>16642</v>
      </c>
      <c r="D61" s="281">
        <v>84287238.649885669</v>
      </c>
      <c r="E61" s="281">
        <f t="shared" si="4"/>
        <v>5064.7301195701039</v>
      </c>
      <c r="F61" s="281">
        <f t="shared" si="5"/>
        <v>1021.9731876312297</v>
      </c>
      <c r="G61" s="261">
        <v>78</v>
      </c>
      <c r="H61" s="261">
        <f t="shared" si="3"/>
        <v>201.78235829039104</v>
      </c>
      <c r="I61" s="282">
        <f t="shared" si="6"/>
        <v>0.20178235829039104</v>
      </c>
    </row>
    <row r="62" spans="1:9" x14ac:dyDescent="0.3">
      <c r="A62" s="412" t="s">
        <v>115</v>
      </c>
      <c r="B62" s="413">
        <v>35091</v>
      </c>
      <c r="C62" s="414">
        <v>8548</v>
      </c>
      <c r="D62" s="281">
        <v>41899348.510052286</v>
      </c>
      <c r="E62" s="281">
        <f t="shared" si="4"/>
        <v>4901.6551836748113</v>
      </c>
      <c r="F62" s="281">
        <f t="shared" si="5"/>
        <v>1194.0197916859674</v>
      </c>
      <c r="G62" s="261">
        <v>58</v>
      </c>
      <c r="H62" s="261">
        <f t="shared" si="3"/>
        <v>243.59522384657035</v>
      </c>
      <c r="I62" s="282">
        <f t="shared" si="6"/>
        <v>0.24359522384657034</v>
      </c>
    </row>
    <row r="63" spans="1:9" x14ac:dyDescent="0.3">
      <c r="A63" s="412" t="s">
        <v>116</v>
      </c>
      <c r="B63" s="413">
        <v>21818</v>
      </c>
      <c r="C63" s="414">
        <v>5479</v>
      </c>
      <c r="D63" s="281">
        <v>30142329.069975872</v>
      </c>
      <c r="E63" s="281">
        <f t="shared" si="4"/>
        <v>5501.4289231567573</v>
      </c>
      <c r="F63" s="281">
        <f t="shared" si="5"/>
        <v>1381.5349284982983</v>
      </c>
      <c r="G63" s="261">
        <v>37</v>
      </c>
      <c r="H63" s="261">
        <f t="shared" si="3"/>
        <v>251.12292602438353</v>
      </c>
      <c r="I63" s="282">
        <f t="shared" si="6"/>
        <v>0.25112292602438352</v>
      </c>
    </row>
    <row r="64" spans="1:9" x14ac:dyDescent="0.3">
      <c r="A64" s="412" t="s">
        <v>117</v>
      </c>
      <c r="B64" s="413">
        <v>23649</v>
      </c>
      <c r="C64" s="414">
        <v>6927</v>
      </c>
      <c r="D64" s="281">
        <v>39913158.489999235</v>
      </c>
      <c r="E64" s="281">
        <f t="shared" si="4"/>
        <v>5761.9688884075695</v>
      </c>
      <c r="F64" s="281">
        <f t="shared" si="5"/>
        <v>1687.7313412828971</v>
      </c>
      <c r="G64" s="261">
        <v>17</v>
      </c>
      <c r="H64" s="261">
        <f t="shared" si="3"/>
        <v>292.90879106938985</v>
      </c>
      <c r="I64" s="282">
        <f t="shared" si="6"/>
        <v>0.29290879106938983</v>
      </c>
    </row>
    <row r="65" spans="1:9" x14ac:dyDescent="0.3">
      <c r="A65" s="412" t="s">
        <v>118</v>
      </c>
      <c r="B65" s="413">
        <v>45485</v>
      </c>
      <c r="C65" s="414">
        <v>12348</v>
      </c>
      <c r="D65" s="281">
        <v>70313608.820122927</v>
      </c>
      <c r="E65" s="281">
        <f t="shared" si="4"/>
        <v>5694.3317800553068</v>
      </c>
      <c r="F65" s="281">
        <f t="shared" si="5"/>
        <v>1545.8636653868953</v>
      </c>
      <c r="G65" s="261">
        <v>21</v>
      </c>
      <c r="H65" s="261">
        <f t="shared" si="3"/>
        <v>271.47411234472901</v>
      </c>
      <c r="I65" s="282">
        <f t="shared" si="6"/>
        <v>0.27147411234472901</v>
      </c>
    </row>
    <row r="66" spans="1:9" x14ac:dyDescent="0.3">
      <c r="A66" s="412" t="s">
        <v>119</v>
      </c>
      <c r="B66" s="413">
        <v>1055826</v>
      </c>
      <c r="C66" s="414">
        <v>240416</v>
      </c>
      <c r="D66" s="281">
        <v>933548357.3865242</v>
      </c>
      <c r="E66" s="281">
        <f t="shared" si="4"/>
        <v>3883.0541951722189</v>
      </c>
      <c r="F66" s="281">
        <f t="shared" si="5"/>
        <v>884.1876951188209</v>
      </c>
      <c r="G66" s="261">
        <v>90</v>
      </c>
      <c r="H66" s="261">
        <f t="shared" si="3"/>
        <v>227.70418610642284</v>
      </c>
      <c r="I66" s="282">
        <f t="shared" si="6"/>
        <v>0.22770418610642285</v>
      </c>
    </row>
    <row r="67" spans="1:9" x14ac:dyDescent="0.3">
      <c r="A67" s="412" t="s">
        <v>120</v>
      </c>
      <c r="B67" s="413">
        <v>15328</v>
      </c>
      <c r="C67" s="414">
        <v>3803</v>
      </c>
      <c r="D67" s="281">
        <v>23461308.659991421</v>
      </c>
      <c r="E67" s="281">
        <f t="shared" si="4"/>
        <v>6169.1582066766814</v>
      </c>
      <c r="F67" s="281">
        <f t="shared" si="5"/>
        <v>1530.6177361685425</v>
      </c>
      <c r="G67" s="261">
        <v>22</v>
      </c>
      <c r="H67" s="261">
        <f t="shared" si="3"/>
        <v>248.10803757828808</v>
      </c>
      <c r="I67" s="282">
        <f t="shared" si="6"/>
        <v>0.24810803757828809</v>
      </c>
    </row>
    <row r="68" spans="1:9" x14ac:dyDescent="0.3">
      <c r="A68" s="412" t="s">
        <v>121</v>
      </c>
      <c r="B68" s="413">
        <v>27894</v>
      </c>
      <c r="C68" s="414">
        <v>8087</v>
      </c>
      <c r="D68" s="281">
        <v>36200827.139984936</v>
      </c>
      <c r="E68" s="281">
        <f t="shared" si="4"/>
        <v>4476.422299985772</v>
      </c>
      <c r="F68" s="281">
        <f t="shared" si="5"/>
        <v>1297.7997827484382</v>
      </c>
      <c r="G68" s="261">
        <v>45</v>
      </c>
      <c r="H68" s="261">
        <f t="shared" si="3"/>
        <v>289.91897899189792</v>
      </c>
      <c r="I68" s="282">
        <f t="shared" si="6"/>
        <v>0.28991897899189789</v>
      </c>
    </row>
    <row r="69" spans="1:9" x14ac:dyDescent="0.3">
      <c r="A69" s="412" t="s">
        <v>122</v>
      </c>
      <c r="B69" s="413">
        <v>95789</v>
      </c>
      <c r="C69" s="414">
        <v>16688</v>
      </c>
      <c r="D69" s="281">
        <v>84692442.959761322</v>
      </c>
      <c r="E69" s="281">
        <f t="shared" si="4"/>
        <v>5075.0505129291296</v>
      </c>
      <c r="F69" s="281">
        <f t="shared" si="5"/>
        <v>884.15624925368593</v>
      </c>
      <c r="G69" s="261">
        <v>91</v>
      </c>
      <c r="H69" s="261">
        <f t="shared" si="3"/>
        <v>174.216246124294</v>
      </c>
      <c r="I69" s="282">
        <f t="shared" si="6"/>
        <v>0.17421624612429401</v>
      </c>
    </row>
    <row r="70" spans="1:9" x14ac:dyDescent="0.3">
      <c r="A70" s="412" t="s">
        <v>123</v>
      </c>
      <c r="B70" s="413">
        <v>94280</v>
      </c>
      <c r="C70" s="414">
        <v>27145</v>
      </c>
      <c r="D70" s="281">
        <v>125911925.72034135</v>
      </c>
      <c r="E70" s="281">
        <f t="shared" si="4"/>
        <v>4638.494224363284</v>
      </c>
      <c r="F70" s="281">
        <f t="shared" si="5"/>
        <v>1335.5104552433322</v>
      </c>
      <c r="G70" s="261">
        <v>41</v>
      </c>
      <c r="H70" s="261">
        <f t="shared" si="3"/>
        <v>287.91896478574461</v>
      </c>
      <c r="I70" s="282">
        <f t="shared" si="6"/>
        <v>0.28791896478574458</v>
      </c>
    </row>
    <row r="71" spans="1:9" x14ac:dyDescent="0.3">
      <c r="A71" s="412" t="s">
        <v>124</v>
      </c>
      <c r="B71" s="413">
        <v>223152</v>
      </c>
      <c r="C71" s="414">
        <v>40362</v>
      </c>
      <c r="D71" s="281">
        <v>213493826.97343254</v>
      </c>
      <c r="E71" s="281">
        <f t="shared" ref="E71:E102" si="7">D71/C71</f>
        <v>5289.4759172843897</v>
      </c>
      <c r="F71" s="281">
        <f t="shared" ref="F71:F106" si="8">D71/B71</f>
        <v>956.71930779662534</v>
      </c>
      <c r="G71" s="261">
        <v>85</v>
      </c>
      <c r="H71" s="261">
        <f t="shared" si="3"/>
        <v>180.87223058722307</v>
      </c>
      <c r="I71" s="282">
        <f t="shared" ref="I71:I106" si="9">C71/B71</f>
        <v>0.18087223058722307</v>
      </c>
    </row>
    <row r="72" spans="1:9" x14ac:dyDescent="0.3">
      <c r="A72" s="412" t="s">
        <v>125</v>
      </c>
      <c r="B72" s="413">
        <v>21037</v>
      </c>
      <c r="C72" s="414">
        <v>6931</v>
      </c>
      <c r="D72" s="281">
        <v>36951205.609998323</v>
      </c>
      <c r="E72" s="281">
        <f t="shared" si="7"/>
        <v>5331.2949949499816</v>
      </c>
      <c r="F72" s="281">
        <f t="shared" si="8"/>
        <v>1756.48645766974</v>
      </c>
      <c r="G72" s="261">
        <v>12</v>
      </c>
      <c r="H72" s="261">
        <f t="shared" ref="H72:H106" si="10">I72*1000</f>
        <v>329.46712934353758</v>
      </c>
      <c r="I72" s="282">
        <f t="shared" si="9"/>
        <v>0.32946712934353756</v>
      </c>
    </row>
    <row r="73" spans="1:9" x14ac:dyDescent="0.3">
      <c r="A73" s="412" t="s">
        <v>126</v>
      </c>
      <c r="B73" s="413">
        <v>196830</v>
      </c>
      <c r="C73" s="414">
        <v>39574</v>
      </c>
      <c r="D73" s="281">
        <v>164025364.45193091</v>
      </c>
      <c r="E73" s="281">
        <f t="shared" si="7"/>
        <v>4144.7759754366734</v>
      </c>
      <c r="F73" s="281">
        <f t="shared" si="8"/>
        <v>833.33518494096893</v>
      </c>
      <c r="G73" s="261">
        <v>92</v>
      </c>
      <c r="H73" s="261">
        <f t="shared" si="10"/>
        <v>201.05674947924604</v>
      </c>
      <c r="I73" s="282">
        <f t="shared" si="9"/>
        <v>0.20105674947924604</v>
      </c>
    </row>
    <row r="74" spans="1:9" x14ac:dyDescent="0.3">
      <c r="A74" s="412" t="s">
        <v>127</v>
      </c>
      <c r="B74" s="413">
        <v>141704</v>
      </c>
      <c r="C74" s="414">
        <v>17599</v>
      </c>
      <c r="D74" s="281">
        <v>98245228.989637867</v>
      </c>
      <c r="E74" s="281">
        <f t="shared" si="7"/>
        <v>5582.4324671650584</v>
      </c>
      <c r="F74" s="281">
        <f t="shared" si="8"/>
        <v>693.31302567067883</v>
      </c>
      <c r="G74" s="261">
        <v>95</v>
      </c>
      <c r="H74" s="261">
        <f t="shared" si="10"/>
        <v>124.19550612544458</v>
      </c>
      <c r="I74" s="282">
        <f t="shared" si="9"/>
        <v>0.12419550612544458</v>
      </c>
    </row>
    <row r="75" spans="1:9" x14ac:dyDescent="0.3">
      <c r="A75" s="412" t="s">
        <v>128</v>
      </c>
      <c r="B75" s="413">
        <v>13177</v>
      </c>
      <c r="C75" s="414">
        <v>2884</v>
      </c>
      <c r="D75" s="281">
        <v>16376292.160005866</v>
      </c>
      <c r="E75" s="281">
        <f t="shared" si="7"/>
        <v>5678.3259916802581</v>
      </c>
      <c r="F75" s="281">
        <f t="shared" si="8"/>
        <v>1242.7936677548657</v>
      </c>
      <c r="G75" s="261">
        <v>53</v>
      </c>
      <c r="H75" s="261">
        <f t="shared" si="10"/>
        <v>218.86620626849816</v>
      </c>
      <c r="I75" s="282">
        <f t="shared" si="9"/>
        <v>0.21886620626849815</v>
      </c>
    </row>
    <row r="76" spans="1:9" x14ac:dyDescent="0.3">
      <c r="A76" s="412" t="s">
        <v>129</v>
      </c>
      <c r="B76" s="413">
        <v>39959</v>
      </c>
      <c r="C76" s="414">
        <v>10854</v>
      </c>
      <c r="D76" s="281">
        <v>46740721.100021333</v>
      </c>
      <c r="E76" s="281">
        <f t="shared" si="7"/>
        <v>4306.3129813913147</v>
      </c>
      <c r="F76" s="281">
        <f t="shared" si="8"/>
        <v>1169.7169874126312</v>
      </c>
      <c r="G76" s="261">
        <v>61</v>
      </c>
      <c r="H76" s="261">
        <f t="shared" si="10"/>
        <v>271.62841912960783</v>
      </c>
      <c r="I76" s="282">
        <f t="shared" si="9"/>
        <v>0.27162841912960783</v>
      </c>
    </row>
    <row r="77" spans="1:9" x14ac:dyDescent="0.3">
      <c r="A77" s="412" t="s">
        <v>130</v>
      </c>
      <c r="B77" s="413">
        <v>59105</v>
      </c>
      <c r="C77" s="414">
        <v>14127</v>
      </c>
      <c r="D77" s="281">
        <v>65227978.329948828</v>
      </c>
      <c r="E77" s="281">
        <f t="shared" si="7"/>
        <v>4617.2561994725584</v>
      </c>
      <c r="F77" s="281">
        <f t="shared" si="8"/>
        <v>1103.5949298697035</v>
      </c>
      <c r="G77" s="261">
        <v>71</v>
      </c>
      <c r="H77" s="261">
        <f t="shared" si="10"/>
        <v>239.01531173335587</v>
      </c>
      <c r="I77" s="282">
        <f t="shared" si="9"/>
        <v>0.23901531173335588</v>
      </c>
    </row>
    <row r="78" spans="1:9" x14ac:dyDescent="0.3">
      <c r="A78" s="412" t="s">
        <v>131</v>
      </c>
      <c r="B78" s="413">
        <v>13699</v>
      </c>
      <c r="C78" s="414">
        <v>3172</v>
      </c>
      <c r="D78" s="281">
        <v>16575267.79000462</v>
      </c>
      <c r="E78" s="281">
        <f t="shared" si="7"/>
        <v>5225.4942591439531</v>
      </c>
      <c r="F78" s="281">
        <f t="shared" si="8"/>
        <v>1209.9618796995853</v>
      </c>
      <c r="G78" s="261">
        <v>57</v>
      </c>
      <c r="H78" s="261">
        <f t="shared" si="10"/>
        <v>231.54974815679978</v>
      </c>
      <c r="I78" s="282">
        <f t="shared" si="9"/>
        <v>0.23154974815679977</v>
      </c>
    </row>
    <row r="79" spans="1:9" x14ac:dyDescent="0.3">
      <c r="A79" s="412" t="s">
        <v>132</v>
      </c>
      <c r="B79" s="413">
        <v>39712</v>
      </c>
      <c r="C79" s="414">
        <v>10037</v>
      </c>
      <c r="D79" s="281">
        <v>52850780.259964921</v>
      </c>
      <c r="E79" s="281">
        <f t="shared" si="7"/>
        <v>5265.5953233002811</v>
      </c>
      <c r="F79" s="281">
        <f t="shared" si="8"/>
        <v>1330.851638294846</v>
      </c>
      <c r="G79" s="261">
        <v>42</v>
      </c>
      <c r="H79" s="261">
        <f t="shared" si="10"/>
        <v>252.74476228847703</v>
      </c>
      <c r="I79" s="282">
        <f t="shared" si="9"/>
        <v>0.25274476228847703</v>
      </c>
    </row>
    <row r="80" spans="1:9" x14ac:dyDescent="0.3">
      <c r="A80" s="412" t="s">
        <v>133</v>
      </c>
      <c r="B80" s="413">
        <v>176311</v>
      </c>
      <c r="C80" s="414">
        <v>42184</v>
      </c>
      <c r="D80" s="281">
        <v>210149422.45351061</v>
      </c>
      <c r="E80" s="281">
        <f t="shared" si="7"/>
        <v>4981.7329426680881</v>
      </c>
      <c r="F80" s="281">
        <f t="shared" si="8"/>
        <v>1191.9246244052306</v>
      </c>
      <c r="G80" s="261">
        <v>59</v>
      </c>
      <c r="H80" s="261">
        <f t="shared" si="10"/>
        <v>239.25903658875509</v>
      </c>
      <c r="I80" s="282">
        <f t="shared" si="9"/>
        <v>0.23925903658875511</v>
      </c>
    </row>
    <row r="81" spans="1:9" x14ac:dyDescent="0.3">
      <c r="A81" s="412" t="s">
        <v>134</v>
      </c>
      <c r="B81" s="413">
        <v>20927</v>
      </c>
      <c r="C81" s="414">
        <v>3755</v>
      </c>
      <c r="D81" s="281">
        <v>23408781.479998495</v>
      </c>
      <c r="E81" s="281">
        <f t="shared" si="7"/>
        <v>6234.0296884150457</v>
      </c>
      <c r="F81" s="281">
        <f t="shared" si="8"/>
        <v>1118.5923199693457</v>
      </c>
      <c r="G81" s="261">
        <v>70</v>
      </c>
      <c r="H81" s="261">
        <f t="shared" si="10"/>
        <v>179.43326802695083</v>
      </c>
      <c r="I81" s="282">
        <f t="shared" si="9"/>
        <v>0.17943326802695084</v>
      </c>
    </row>
    <row r="82" spans="1:9" x14ac:dyDescent="0.3">
      <c r="A82" s="412" t="s">
        <v>135</v>
      </c>
      <c r="B82" s="413">
        <v>143091</v>
      </c>
      <c r="C82" s="414">
        <v>36109</v>
      </c>
      <c r="D82" s="281">
        <v>177933768.51079071</v>
      </c>
      <c r="E82" s="281">
        <f t="shared" si="7"/>
        <v>4927.6847464839984</v>
      </c>
      <c r="F82" s="281">
        <f t="shared" si="8"/>
        <v>1243.5007688169815</v>
      </c>
      <c r="G82" s="261">
        <v>52</v>
      </c>
      <c r="H82" s="261">
        <f t="shared" si="10"/>
        <v>252.34990320844776</v>
      </c>
      <c r="I82" s="282">
        <f t="shared" si="9"/>
        <v>0.25234990320844775</v>
      </c>
    </row>
    <row r="83" spans="1:9" x14ac:dyDescent="0.3">
      <c r="A83" s="412" t="s">
        <v>136</v>
      </c>
      <c r="B83" s="413">
        <v>45301</v>
      </c>
      <c r="C83" s="414">
        <v>17104</v>
      </c>
      <c r="D83" s="281">
        <v>80338242.239754736</v>
      </c>
      <c r="E83" s="281">
        <f t="shared" si="7"/>
        <v>4697.0440972728447</v>
      </c>
      <c r="F83" s="281">
        <f t="shared" si="8"/>
        <v>1773.4319825115281</v>
      </c>
      <c r="G83" s="261">
        <v>11</v>
      </c>
      <c r="H83" s="261">
        <f t="shared" si="10"/>
        <v>377.56340919626496</v>
      </c>
      <c r="I83" s="282">
        <f t="shared" si="9"/>
        <v>0.37756340919626497</v>
      </c>
    </row>
    <row r="84" spans="1:9" x14ac:dyDescent="0.3">
      <c r="A84" s="412" t="s">
        <v>137</v>
      </c>
      <c r="B84" s="413">
        <v>133117</v>
      </c>
      <c r="C84" s="414">
        <v>54389</v>
      </c>
      <c r="D84" s="281">
        <v>281750337.77209556</v>
      </c>
      <c r="E84" s="281">
        <f t="shared" si="7"/>
        <v>5180.2816336409123</v>
      </c>
      <c r="F84" s="281">
        <f t="shared" si="8"/>
        <v>2116.561654575265</v>
      </c>
      <c r="G84" s="261">
        <v>1</v>
      </c>
      <c r="H84" s="261">
        <f t="shared" si="10"/>
        <v>408.58042173426384</v>
      </c>
      <c r="I84" s="282">
        <f t="shared" si="9"/>
        <v>0.40858042173426384</v>
      </c>
    </row>
    <row r="85" spans="1:9" x14ac:dyDescent="0.3">
      <c r="A85" s="412" t="s">
        <v>138</v>
      </c>
      <c r="B85" s="413">
        <v>91981</v>
      </c>
      <c r="C85" s="414">
        <v>24469</v>
      </c>
      <c r="D85" s="281">
        <v>130358890.99984132</v>
      </c>
      <c r="E85" s="281">
        <f t="shared" si="7"/>
        <v>5327.5119947624062</v>
      </c>
      <c r="F85" s="281">
        <f t="shared" si="8"/>
        <v>1417.2371576721423</v>
      </c>
      <c r="G85" s="261">
        <v>32</v>
      </c>
      <c r="H85" s="261">
        <f t="shared" si="10"/>
        <v>266.02233069873125</v>
      </c>
      <c r="I85" s="282">
        <f t="shared" si="9"/>
        <v>0.26602233069873127</v>
      </c>
    </row>
    <row r="86" spans="1:9" x14ac:dyDescent="0.3">
      <c r="A86" s="412" t="s">
        <v>139</v>
      </c>
      <c r="B86" s="413">
        <v>140963</v>
      </c>
      <c r="C86" s="414">
        <v>36591</v>
      </c>
      <c r="D86" s="281">
        <v>180989974.78079748</v>
      </c>
      <c r="E86" s="281">
        <f t="shared" si="7"/>
        <v>4946.2975808476804</v>
      </c>
      <c r="F86" s="281">
        <f t="shared" si="8"/>
        <v>1283.9537664550094</v>
      </c>
      <c r="G86" s="261">
        <v>48</v>
      </c>
      <c r="H86" s="261">
        <f t="shared" si="10"/>
        <v>259.57875470868242</v>
      </c>
      <c r="I86" s="282">
        <f t="shared" si="9"/>
        <v>0.25957875470868241</v>
      </c>
    </row>
    <row r="87" spans="1:9" x14ac:dyDescent="0.3">
      <c r="A87" s="412" t="s">
        <v>140</v>
      </c>
      <c r="B87" s="413">
        <v>67665</v>
      </c>
      <c r="C87" s="414">
        <v>19227</v>
      </c>
      <c r="D87" s="281">
        <v>98143056.879815072</v>
      </c>
      <c r="E87" s="281">
        <f t="shared" si="7"/>
        <v>5104.4394278782474</v>
      </c>
      <c r="F87" s="281">
        <f t="shared" si="8"/>
        <v>1450.4257279216001</v>
      </c>
      <c r="G87" s="261">
        <v>29</v>
      </c>
      <c r="H87" s="261">
        <f t="shared" si="10"/>
        <v>284.14985590778099</v>
      </c>
      <c r="I87" s="282">
        <f t="shared" si="9"/>
        <v>0.28414985590778097</v>
      </c>
    </row>
    <row r="88" spans="1:9" x14ac:dyDescent="0.3">
      <c r="A88" s="412" t="s">
        <v>141</v>
      </c>
      <c r="B88" s="413">
        <v>63993</v>
      </c>
      <c r="C88" s="414">
        <v>20407</v>
      </c>
      <c r="D88" s="281">
        <v>94087432.860104725</v>
      </c>
      <c r="E88" s="281">
        <f t="shared" si="7"/>
        <v>4610.5470113247766</v>
      </c>
      <c r="F88" s="281">
        <f t="shared" si="8"/>
        <v>1470.2769499805404</v>
      </c>
      <c r="G88" s="261">
        <v>26</v>
      </c>
      <c r="H88" s="261">
        <f t="shared" si="10"/>
        <v>318.89425405903773</v>
      </c>
      <c r="I88" s="282">
        <f t="shared" si="9"/>
        <v>0.31889425405903771</v>
      </c>
    </row>
    <row r="89" spans="1:9" x14ac:dyDescent="0.3">
      <c r="A89" s="412" t="s">
        <v>142</v>
      </c>
      <c r="B89" s="413">
        <v>35626</v>
      </c>
      <c r="C89" s="414">
        <v>13806</v>
      </c>
      <c r="D89" s="281">
        <v>67439497.949950129</v>
      </c>
      <c r="E89" s="281">
        <f t="shared" si="7"/>
        <v>4884.7963168151618</v>
      </c>
      <c r="F89" s="281">
        <f t="shared" si="8"/>
        <v>1892.9854025136174</v>
      </c>
      <c r="G89" s="261">
        <v>7</v>
      </c>
      <c r="H89" s="261">
        <f t="shared" si="10"/>
        <v>387.5259641834615</v>
      </c>
      <c r="I89" s="282">
        <f t="shared" si="9"/>
        <v>0.38752596418346152</v>
      </c>
    </row>
    <row r="90" spans="1:9" x14ac:dyDescent="0.3">
      <c r="A90" s="412" t="s">
        <v>143</v>
      </c>
      <c r="B90" s="413">
        <v>61447</v>
      </c>
      <c r="C90" s="414">
        <v>14017</v>
      </c>
      <c r="D90" s="281">
        <v>76570849.61985293</v>
      </c>
      <c r="E90" s="281">
        <f t="shared" si="7"/>
        <v>5462.713106931079</v>
      </c>
      <c r="F90" s="281">
        <f t="shared" si="8"/>
        <v>1246.1283646045035</v>
      </c>
      <c r="G90" s="261">
        <v>51</v>
      </c>
      <c r="H90" s="261">
        <f t="shared" si="10"/>
        <v>228.11528634432926</v>
      </c>
      <c r="I90" s="282">
        <f t="shared" si="9"/>
        <v>0.22811528634432926</v>
      </c>
    </row>
    <row r="91" spans="1:9" x14ac:dyDescent="0.3">
      <c r="A91" s="412" t="s">
        <v>144</v>
      </c>
      <c r="B91" s="413">
        <v>46735</v>
      </c>
      <c r="C91" s="414">
        <v>9423</v>
      </c>
      <c r="D91" s="281">
        <v>53139515.660068542</v>
      </c>
      <c r="E91" s="281">
        <f t="shared" si="7"/>
        <v>5639.3415748772732</v>
      </c>
      <c r="F91" s="281">
        <f t="shared" si="8"/>
        <v>1137.038957100001</v>
      </c>
      <c r="G91" s="261">
        <v>67</v>
      </c>
      <c r="H91" s="261">
        <f t="shared" si="10"/>
        <v>201.62619022146146</v>
      </c>
      <c r="I91" s="282">
        <f t="shared" si="9"/>
        <v>0.20162619022146144</v>
      </c>
    </row>
    <row r="92" spans="1:9" x14ac:dyDescent="0.3">
      <c r="A92" s="412" t="s">
        <v>145</v>
      </c>
      <c r="B92" s="413">
        <v>73195</v>
      </c>
      <c r="C92" s="414">
        <v>19255</v>
      </c>
      <c r="D92" s="281">
        <v>101687124.26964612</v>
      </c>
      <c r="E92" s="281">
        <f t="shared" si="7"/>
        <v>5281.0763058761941</v>
      </c>
      <c r="F92" s="281">
        <f t="shared" si="8"/>
        <v>1389.2632593708056</v>
      </c>
      <c r="G92" s="261">
        <v>36</v>
      </c>
      <c r="H92" s="261">
        <f t="shared" si="10"/>
        <v>263.0644169683722</v>
      </c>
      <c r="I92" s="282">
        <f t="shared" si="9"/>
        <v>0.26306441696837218</v>
      </c>
    </row>
    <row r="93" spans="1:9" x14ac:dyDescent="0.3">
      <c r="A93" s="412" t="s">
        <v>146</v>
      </c>
      <c r="B93" s="413">
        <v>15106</v>
      </c>
      <c r="C93" s="414">
        <v>4831</v>
      </c>
      <c r="D93" s="281">
        <v>31060401.249983434</v>
      </c>
      <c r="E93" s="281">
        <f t="shared" si="7"/>
        <v>6429.3937590526666</v>
      </c>
      <c r="F93" s="281">
        <f t="shared" si="8"/>
        <v>2056.1631967419194</v>
      </c>
      <c r="G93" s="261">
        <v>2</v>
      </c>
      <c r="H93" s="261">
        <f t="shared" si="10"/>
        <v>319.80669932477161</v>
      </c>
      <c r="I93" s="282">
        <f t="shared" si="9"/>
        <v>0.31980669932477163</v>
      </c>
    </row>
    <row r="94" spans="1:9" x14ac:dyDescent="0.3">
      <c r="A94" s="412" t="s">
        <v>147</v>
      </c>
      <c r="B94" s="413">
        <v>34056</v>
      </c>
      <c r="C94" s="414">
        <v>6842</v>
      </c>
      <c r="D94" s="281">
        <v>38315769.780004218</v>
      </c>
      <c r="E94" s="281">
        <f t="shared" si="7"/>
        <v>5600.0832768202599</v>
      </c>
      <c r="F94" s="281">
        <f t="shared" si="8"/>
        <v>1125.0813301622097</v>
      </c>
      <c r="G94" s="261">
        <v>68</v>
      </c>
      <c r="H94" s="261">
        <f t="shared" si="10"/>
        <v>200.90439276485787</v>
      </c>
      <c r="I94" s="282">
        <f t="shared" si="9"/>
        <v>0.20090439276485789</v>
      </c>
    </row>
    <row r="95" spans="1:9" x14ac:dyDescent="0.3">
      <c r="A95" s="412" t="s">
        <v>148</v>
      </c>
      <c r="B95" s="413">
        <v>4215</v>
      </c>
      <c r="C95" s="414">
        <v>1036</v>
      </c>
      <c r="D95" s="281">
        <v>5773844.749999268</v>
      </c>
      <c r="E95" s="281">
        <f t="shared" si="7"/>
        <v>5573.2092181460112</v>
      </c>
      <c r="F95" s="281">
        <f t="shared" si="8"/>
        <v>1369.8326809013683</v>
      </c>
      <c r="G95" s="261">
        <v>39</v>
      </c>
      <c r="H95" s="261">
        <f t="shared" si="10"/>
        <v>245.7888493475682</v>
      </c>
      <c r="I95" s="282">
        <f t="shared" si="9"/>
        <v>0.2457888493475682</v>
      </c>
    </row>
    <row r="96" spans="1:9" x14ac:dyDescent="0.3">
      <c r="A96" s="412" t="s">
        <v>149</v>
      </c>
      <c r="B96" s="413">
        <v>224030</v>
      </c>
      <c r="C96" s="414">
        <v>35356</v>
      </c>
      <c r="D96" s="281">
        <v>165557357.21044397</v>
      </c>
      <c r="E96" s="281">
        <f t="shared" si="7"/>
        <v>4682.5816611167547</v>
      </c>
      <c r="F96" s="281">
        <f t="shared" si="8"/>
        <v>738.99637196109438</v>
      </c>
      <c r="G96" s="261">
        <v>94</v>
      </c>
      <c r="H96" s="261">
        <f t="shared" si="10"/>
        <v>157.8181493549971</v>
      </c>
      <c r="I96" s="282">
        <f t="shared" si="9"/>
        <v>0.15781814935499711</v>
      </c>
    </row>
    <row r="97" spans="1:9" x14ac:dyDescent="0.3">
      <c r="A97" s="412" t="s">
        <v>150</v>
      </c>
      <c r="B97" s="413">
        <v>45113</v>
      </c>
      <c r="C97" s="415">
        <v>18248</v>
      </c>
      <c r="D97" s="281">
        <v>92385799.059614137</v>
      </c>
      <c r="E97" s="281">
        <f t="shared" si="7"/>
        <v>5062.7903912546108</v>
      </c>
      <c r="F97" s="281">
        <f t="shared" si="8"/>
        <v>2047.8753144240936</v>
      </c>
      <c r="G97" s="261">
        <v>3</v>
      </c>
      <c r="H97" s="261">
        <f t="shared" si="10"/>
        <v>404.49537827233831</v>
      </c>
      <c r="I97" s="282">
        <f t="shared" si="9"/>
        <v>0.40449537827233834</v>
      </c>
    </row>
    <row r="98" spans="1:9" x14ac:dyDescent="0.3">
      <c r="A98" s="412" t="s">
        <v>151</v>
      </c>
      <c r="B98" s="413">
        <v>1029789</v>
      </c>
      <c r="C98" s="415">
        <v>151710</v>
      </c>
      <c r="D98" s="281">
        <v>642039031.17858469</v>
      </c>
      <c r="E98" s="281">
        <f t="shared" si="7"/>
        <v>4232.0152341874937</v>
      </c>
      <c r="F98" s="281">
        <f t="shared" si="8"/>
        <v>623.46658507576285</v>
      </c>
      <c r="G98" s="261">
        <v>98</v>
      </c>
      <c r="H98" s="261">
        <f t="shared" si="10"/>
        <v>147.32144157686673</v>
      </c>
      <c r="I98" s="282">
        <f t="shared" si="9"/>
        <v>0.14732144157686672</v>
      </c>
    </row>
    <row r="99" spans="1:9" x14ac:dyDescent="0.3">
      <c r="A99" s="412" t="s">
        <v>152</v>
      </c>
      <c r="B99" s="413">
        <v>20469</v>
      </c>
      <c r="C99" s="415">
        <v>5893</v>
      </c>
      <c r="D99" s="281">
        <v>34464075.449983194</v>
      </c>
      <c r="E99" s="281">
        <f t="shared" si="7"/>
        <v>5848.3073901210237</v>
      </c>
      <c r="F99" s="281">
        <f t="shared" si="8"/>
        <v>1683.7205261606914</v>
      </c>
      <c r="G99" s="261">
        <v>18</v>
      </c>
      <c r="H99" s="261">
        <f t="shared" si="10"/>
        <v>287.89877375543506</v>
      </c>
      <c r="I99" s="282">
        <f t="shared" si="9"/>
        <v>0.28789877375543504</v>
      </c>
    </row>
    <row r="100" spans="1:9" x14ac:dyDescent="0.3">
      <c r="A100" s="412" t="s">
        <v>153</v>
      </c>
      <c r="B100" s="413">
        <v>12508</v>
      </c>
      <c r="C100" s="415">
        <v>4222</v>
      </c>
      <c r="D100" s="281">
        <v>24319682.560002632</v>
      </c>
      <c r="E100" s="281">
        <f t="shared" si="7"/>
        <v>5760.2279867367679</v>
      </c>
      <c r="F100" s="281">
        <f t="shared" si="8"/>
        <v>1944.3302334508021</v>
      </c>
      <c r="G100" s="261">
        <v>5</v>
      </c>
      <c r="H100" s="261">
        <f t="shared" si="10"/>
        <v>337.54397185801088</v>
      </c>
      <c r="I100" s="282">
        <f t="shared" si="9"/>
        <v>0.33754397185801088</v>
      </c>
    </row>
    <row r="101" spans="1:9" x14ac:dyDescent="0.3">
      <c r="A101" s="412" t="s">
        <v>154</v>
      </c>
      <c r="B101" s="413">
        <v>54340</v>
      </c>
      <c r="C101" s="415">
        <v>5367</v>
      </c>
      <c r="D101" s="281">
        <v>29989965.419984348</v>
      </c>
      <c r="E101" s="281">
        <f t="shared" si="7"/>
        <v>5587.8452431496826</v>
      </c>
      <c r="F101" s="281">
        <f t="shared" si="8"/>
        <v>551.8948365841801</v>
      </c>
      <c r="G101" s="261">
        <v>100</v>
      </c>
      <c r="H101" s="261">
        <f t="shared" si="10"/>
        <v>98.767022451232975</v>
      </c>
      <c r="I101" s="282">
        <f t="shared" si="9"/>
        <v>9.8767022451232978E-2</v>
      </c>
    </row>
    <row r="102" spans="1:9" x14ac:dyDescent="0.3">
      <c r="A102" s="412" t="s">
        <v>155</v>
      </c>
      <c r="B102" s="413">
        <v>124900</v>
      </c>
      <c r="C102" s="415">
        <v>36485</v>
      </c>
      <c r="D102" s="281">
        <v>157452550.48190251</v>
      </c>
      <c r="E102" s="281">
        <f t="shared" si="7"/>
        <v>4315.5420167713446</v>
      </c>
      <c r="F102" s="281">
        <f t="shared" si="8"/>
        <v>1260.6289069808047</v>
      </c>
      <c r="G102" s="261">
        <v>49</v>
      </c>
      <c r="H102" s="261">
        <f t="shared" si="10"/>
        <v>292.11369095276217</v>
      </c>
      <c r="I102" s="282">
        <f t="shared" si="9"/>
        <v>0.29211369095276218</v>
      </c>
    </row>
    <row r="103" spans="1:9" x14ac:dyDescent="0.3">
      <c r="A103" s="412" t="s">
        <v>156</v>
      </c>
      <c r="B103" s="413">
        <v>69663</v>
      </c>
      <c r="C103" s="415">
        <v>16975</v>
      </c>
      <c r="D103" s="281">
        <v>103221923.53970267</v>
      </c>
      <c r="E103" s="281">
        <f t="shared" ref="E103:E106" si="11">D103/C103</f>
        <v>6080.8202379795384</v>
      </c>
      <c r="F103" s="281">
        <f t="shared" si="8"/>
        <v>1481.7323907914197</v>
      </c>
      <c r="G103" s="261">
        <v>25</v>
      </c>
      <c r="H103" s="261">
        <f t="shared" si="10"/>
        <v>243.67311198197032</v>
      </c>
      <c r="I103" s="282">
        <f t="shared" si="9"/>
        <v>0.24367311198197034</v>
      </c>
    </row>
    <row r="104" spans="1:9" x14ac:dyDescent="0.3">
      <c r="A104" s="412" t="s">
        <v>157</v>
      </c>
      <c r="B104" s="413">
        <v>82152</v>
      </c>
      <c r="C104" s="415">
        <v>24882</v>
      </c>
      <c r="D104" s="281">
        <v>119737573.9103079</v>
      </c>
      <c r="E104" s="281">
        <f t="shared" si="11"/>
        <v>4812.2166188533038</v>
      </c>
      <c r="F104" s="281">
        <f t="shared" si="8"/>
        <v>1457.5125853333807</v>
      </c>
      <c r="G104" s="261">
        <v>28</v>
      </c>
      <c r="H104" s="261">
        <f t="shared" si="10"/>
        <v>302.87759275489333</v>
      </c>
      <c r="I104" s="282">
        <f t="shared" si="9"/>
        <v>0.30287759275489334</v>
      </c>
    </row>
    <row r="105" spans="1:9" x14ac:dyDescent="0.3">
      <c r="A105" s="412" t="s">
        <v>158</v>
      </c>
      <c r="B105" s="413">
        <v>37521</v>
      </c>
      <c r="C105" s="415">
        <v>8413</v>
      </c>
      <c r="D105" s="281">
        <v>46111269.840039156</v>
      </c>
      <c r="E105" s="281">
        <f t="shared" si="11"/>
        <v>5480.9544562033943</v>
      </c>
      <c r="F105" s="281">
        <f t="shared" si="8"/>
        <v>1228.9456528354563</v>
      </c>
      <c r="G105" s="261">
        <v>56</v>
      </c>
      <c r="H105" s="261">
        <f t="shared" si="10"/>
        <v>224.22110284907117</v>
      </c>
      <c r="I105" s="282">
        <f t="shared" si="9"/>
        <v>0.22422110284907118</v>
      </c>
    </row>
    <row r="106" spans="1:9" x14ac:dyDescent="0.3">
      <c r="A106" s="412" t="s">
        <v>159</v>
      </c>
      <c r="B106" s="261">
        <v>17980</v>
      </c>
      <c r="C106" s="416">
        <v>4432</v>
      </c>
      <c r="D106" s="281">
        <v>26257986.04998469</v>
      </c>
      <c r="E106" s="281">
        <f t="shared" si="11"/>
        <v>5924.6358416030434</v>
      </c>
      <c r="F106" s="281">
        <f t="shared" si="8"/>
        <v>1460.3996690759004</v>
      </c>
      <c r="G106" s="261">
        <v>27</v>
      </c>
      <c r="H106" s="261">
        <f t="shared" si="10"/>
        <v>246.49610678531704</v>
      </c>
      <c r="I106" s="282">
        <f t="shared" si="9"/>
        <v>0.24649610678531703</v>
      </c>
    </row>
    <row r="107" spans="1:9" x14ac:dyDescent="0.3">
      <c r="A107" s="412" t="s">
        <v>164</v>
      </c>
      <c r="B107" s="261"/>
      <c r="C107" s="417"/>
      <c r="D107" s="281">
        <v>-5149776.9300046898</v>
      </c>
      <c r="E107" s="268"/>
      <c r="F107" s="268"/>
      <c r="G107" s="267"/>
      <c r="H107" s="261"/>
      <c r="I107" s="282"/>
    </row>
    <row r="108" spans="1:9" s="91" customFormat="1" x14ac:dyDescent="0.3">
      <c r="A108" s="402"/>
      <c r="B108" s="403"/>
      <c r="C108" s="79"/>
      <c r="D108" s="404"/>
      <c r="E108" s="73"/>
      <c r="F108" s="73"/>
      <c r="H108" s="74"/>
      <c r="I108" s="75"/>
    </row>
    <row r="109" spans="1:9" s="292" customFormat="1" ht="15" x14ac:dyDescent="0.3">
      <c r="A109" s="80" t="s">
        <v>327</v>
      </c>
      <c r="B109" s="106">
        <f>SUM(B7:B107)</f>
        <v>10158475</v>
      </c>
      <c r="C109" s="264">
        <v>2332206</v>
      </c>
      <c r="D109" s="270">
        <f>SUM(D7:D107)</f>
        <v>11142210996.148172</v>
      </c>
      <c r="E109" s="265"/>
      <c r="F109" s="265"/>
      <c r="G109" s="82"/>
      <c r="H109" s="106"/>
      <c r="I109" s="418"/>
    </row>
    <row r="110" spans="1:9" s="259" customFormat="1" ht="15" x14ac:dyDescent="0.3">
      <c r="A110" s="266"/>
      <c r="B110" s="267"/>
      <c r="C110" s="261"/>
      <c r="D110" s="268"/>
      <c r="E110" s="268"/>
      <c r="F110" s="268"/>
      <c r="G110" s="267"/>
      <c r="H110" s="261"/>
      <c r="I110" s="419"/>
    </row>
    <row r="111" spans="1:9" s="82" customFormat="1" ht="15" x14ac:dyDescent="0.3">
      <c r="A111" s="271" t="s">
        <v>379</v>
      </c>
      <c r="B111" s="269"/>
      <c r="C111" s="264"/>
      <c r="D111" s="270">
        <v>58464737.93</v>
      </c>
      <c r="E111" s="420"/>
      <c r="F111" s="421"/>
      <c r="H111" s="106"/>
      <c r="I111" s="300"/>
    </row>
    <row r="112" spans="1:9" s="267" customFormat="1" ht="15" x14ac:dyDescent="0.3">
      <c r="A112" s="422"/>
      <c r="B112" s="423"/>
      <c r="C112" s="424"/>
      <c r="D112" s="425"/>
      <c r="E112" s="426"/>
      <c r="F112" s="421"/>
      <c r="H112" s="261"/>
      <c r="I112" s="427"/>
    </row>
    <row r="113" spans="1:57" s="434" customFormat="1" ht="15" x14ac:dyDescent="0.3">
      <c r="A113" s="428" t="s">
        <v>160</v>
      </c>
      <c r="B113" s="429" t="s">
        <v>161</v>
      </c>
      <c r="C113" s="430"/>
      <c r="D113" s="430"/>
      <c r="E113" s="431"/>
      <c r="F113" s="430"/>
      <c r="G113" s="432"/>
      <c r="H113" s="432"/>
      <c r="I113" s="432"/>
      <c r="J113" s="433"/>
      <c r="K113" s="433"/>
      <c r="L113" s="433"/>
      <c r="M113" s="433"/>
      <c r="N113" s="433"/>
      <c r="O113" s="433"/>
      <c r="P113" s="433"/>
      <c r="Q113" s="433"/>
      <c r="R113" s="433"/>
      <c r="S113" s="433"/>
      <c r="T113" s="433"/>
      <c r="U113" s="433"/>
      <c r="V113" s="433"/>
      <c r="W113" s="433"/>
      <c r="X113" s="433"/>
      <c r="Y113" s="433"/>
      <c r="Z113" s="433"/>
      <c r="AA113" s="433"/>
      <c r="AB113" s="433"/>
      <c r="AC113" s="433"/>
      <c r="AD113" s="433"/>
      <c r="AE113" s="433"/>
      <c r="AF113" s="433"/>
      <c r="AG113" s="433"/>
      <c r="AH113" s="433"/>
      <c r="AI113" s="433"/>
      <c r="AJ113" s="433"/>
      <c r="AK113" s="433"/>
      <c r="AL113" s="433"/>
      <c r="AM113" s="433"/>
      <c r="AN113" s="433"/>
      <c r="AO113" s="433"/>
      <c r="AP113" s="433"/>
      <c r="AQ113" s="433"/>
      <c r="AR113" s="433"/>
      <c r="AS113" s="433"/>
      <c r="AT113" s="433"/>
      <c r="AU113" s="433"/>
      <c r="AV113" s="433"/>
      <c r="AW113" s="433"/>
      <c r="AX113" s="433"/>
      <c r="AY113" s="433"/>
      <c r="AZ113" s="433"/>
      <c r="BA113" s="433"/>
      <c r="BB113" s="433"/>
      <c r="BC113" s="433"/>
      <c r="BD113" s="433"/>
      <c r="BE113" s="433"/>
    </row>
    <row r="114" spans="1:57" s="438" customFormat="1" ht="15" x14ac:dyDescent="0.3">
      <c r="A114" s="435"/>
      <c r="B114" s="423" t="s">
        <v>391</v>
      </c>
      <c r="C114" s="111"/>
      <c r="D114" s="111"/>
      <c r="E114" s="321"/>
      <c r="F114" s="111"/>
      <c r="G114" s="436"/>
      <c r="H114" s="437"/>
      <c r="I114" s="111"/>
    </row>
    <row r="115" spans="1:57" s="438" customFormat="1" ht="15" x14ac:dyDescent="0.3">
      <c r="A115" s="435"/>
      <c r="B115" s="423" t="s">
        <v>162</v>
      </c>
      <c r="C115" s="111"/>
      <c r="D115" s="111"/>
      <c r="E115" s="321"/>
      <c r="F115" s="111"/>
      <c r="G115" s="436"/>
      <c r="H115" s="437"/>
      <c r="I115" s="111"/>
    </row>
    <row r="116" spans="1:57" s="259" customFormat="1" ht="15" x14ac:dyDescent="0.3">
      <c r="A116" s="422"/>
      <c r="B116" s="423" t="s">
        <v>163</v>
      </c>
      <c r="C116" s="254"/>
      <c r="D116" s="439"/>
      <c r="E116" s="439"/>
      <c r="F116" s="439"/>
      <c r="H116" s="254"/>
      <c r="I116" s="440"/>
    </row>
    <row r="117" spans="1:57" s="259" customFormat="1" ht="15" x14ac:dyDescent="0.3">
      <c r="A117" s="441"/>
      <c r="C117" s="254"/>
      <c r="D117" s="439"/>
      <c r="E117" s="439"/>
      <c r="F117" s="439"/>
      <c r="H117" s="254"/>
      <c r="I117" s="440"/>
    </row>
    <row r="118" spans="1:57" s="259" customFormat="1" ht="15" x14ac:dyDescent="0.3">
      <c r="A118" s="442" t="s">
        <v>392</v>
      </c>
      <c r="B118" s="259" t="s">
        <v>394</v>
      </c>
      <c r="C118" s="254"/>
      <c r="D118" s="439"/>
      <c r="E118" s="439"/>
      <c r="F118" s="439"/>
      <c r="H118" s="254"/>
      <c r="I118" s="440"/>
    </row>
    <row r="119" spans="1:57" s="259" customFormat="1" ht="15" x14ac:dyDescent="0.3">
      <c r="A119" s="443"/>
      <c r="C119" s="254"/>
      <c r="D119" s="439"/>
      <c r="E119" s="439"/>
      <c r="F119" s="439"/>
      <c r="H119" s="254"/>
      <c r="I119" s="440"/>
    </row>
    <row r="120" spans="1:57" s="259" customFormat="1" ht="15" x14ac:dyDescent="0.3">
      <c r="A120" s="441"/>
      <c r="C120" s="254"/>
      <c r="D120" s="439"/>
      <c r="E120" s="439"/>
      <c r="F120" s="439"/>
      <c r="H120" s="254"/>
      <c r="I120" s="440"/>
    </row>
    <row r="121" spans="1:57" s="259" customFormat="1" ht="15" x14ac:dyDescent="0.3">
      <c r="A121" s="441"/>
      <c r="C121" s="254"/>
      <c r="D121" s="439"/>
      <c r="E121" s="439"/>
      <c r="F121" s="439"/>
      <c r="H121" s="254"/>
      <c r="I121" s="440"/>
    </row>
    <row r="122" spans="1:57" s="259" customFormat="1" ht="15" x14ac:dyDescent="0.3">
      <c r="A122" s="441"/>
      <c r="C122" s="254"/>
      <c r="D122" s="439"/>
      <c r="E122" s="439"/>
      <c r="F122" s="439"/>
      <c r="H122" s="254"/>
      <c r="I122" s="440"/>
    </row>
    <row r="123" spans="1:57" s="259" customFormat="1" ht="15" x14ac:dyDescent="0.3">
      <c r="A123" s="441"/>
      <c r="C123" s="254"/>
      <c r="D123" s="439"/>
      <c r="E123" s="439"/>
      <c r="F123" s="439"/>
      <c r="H123" s="254"/>
      <c r="I123" s="440"/>
    </row>
  </sheetData>
  <mergeCells count="4">
    <mergeCell ref="A1:I1"/>
    <mergeCell ref="A2:I2"/>
    <mergeCell ref="A3:I3"/>
    <mergeCell ref="A4:I4"/>
  </mergeCells>
  <pageMargins left="0.7" right="0.7" top="0.75" bottom="0.75" header="0.3" footer="0.3"/>
  <pageSetup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pane ySplit="7" topLeftCell="A8" activePane="bottomLeft" state="frozen"/>
      <selection pane="bottomLeft" activeCell="A8" sqref="A8"/>
    </sheetView>
  </sheetViews>
  <sheetFormatPr defaultRowHeight="15" x14ac:dyDescent="0.25"/>
  <cols>
    <col min="1" max="1" width="45.42578125" bestFit="1" customWidth="1"/>
    <col min="2" max="2" width="19" bestFit="1" customWidth="1"/>
    <col min="3" max="3" width="16.28515625" bestFit="1" customWidth="1"/>
    <col min="4" max="4" width="12.42578125" bestFit="1" customWidth="1"/>
    <col min="5" max="5" width="15" bestFit="1" customWidth="1"/>
    <col min="6" max="6" width="14.140625" style="5" customWidth="1"/>
    <col min="7" max="7" width="13.85546875" customWidth="1"/>
    <col min="8" max="8" width="14.5703125" customWidth="1"/>
    <col min="10" max="10" width="16.28515625" bestFit="1" customWidth="1"/>
  </cols>
  <sheetData>
    <row r="1" spans="1:12" s="101" customFormat="1" ht="18" x14ac:dyDescent="0.35">
      <c r="A1" s="451" t="s">
        <v>176</v>
      </c>
      <c r="B1" s="451"/>
      <c r="C1" s="451"/>
      <c r="D1" s="451"/>
      <c r="E1" s="451"/>
      <c r="F1" s="451"/>
      <c r="G1" s="451"/>
      <c r="H1" s="451"/>
      <c r="I1" s="100"/>
    </row>
    <row r="2" spans="1:12" s="100" customFormat="1" ht="18" x14ac:dyDescent="0.35">
      <c r="A2" s="452" t="s">
        <v>3</v>
      </c>
      <c r="B2" s="452"/>
      <c r="C2" s="452"/>
      <c r="D2" s="452"/>
      <c r="E2" s="452"/>
      <c r="F2" s="452"/>
      <c r="G2" s="452"/>
      <c r="H2" s="452"/>
      <c r="I2" s="102"/>
      <c r="J2" s="102"/>
      <c r="K2" s="102"/>
      <c r="L2" s="102"/>
    </row>
    <row r="3" spans="1:12" s="103" customFormat="1" ht="18" x14ac:dyDescent="0.35">
      <c r="A3" s="452" t="s">
        <v>22</v>
      </c>
      <c r="B3" s="452"/>
      <c r="C3" s="452"/>
      <c r="D3" s="452"/>
      <c r="E3" s="452"/>
      <c r="F3" s="452"/>
      <c r="G3" s="452"/>
      <c r="H3" s="452"/>
      <c r="I3" s="102"/>
      <c r="J3" s="102"/>
      <c r="K3" s="102"/>
      <c r="L3" s="102"/>
    </row>
    <row r="4" spans="1:12" s="103" customFormat="1" ht="18" x14ac:dyDescent="0.35">
      <c r="A4" s="272" t="s">
        <v>177</v>
      </c>
      <c r="B4" s="272"/>
      <c r="C4" s="272"/>
      <c r="D4" s="272"/>
      <c r="E4" s="272"/>
      <c r="F4" s="272"/>
      <c r="G4" s="272"/>
      <c r="H4" s="272"/>
      <c r="I4" s="102"/>
      <c r="J4" s="102"/>
      <c r="K4" s="102"/>
      <c r="L4" s="102"/>
    </row>
    <row r="5" spans="1:12" s="276" customFormat="1" ht="18" x14ac:dyDescent="0.35">
      <c r="A5" s="273"/>
      <c r="B5" s="273"/>
      <c r="C5" s="273"/>
      <c r="D5" s="273"/>
      <c r="E5" s="273"/>
      <c r="F5" s="274"/>
      <c r="G5" s="273"/>
      <c r="H5" s="273"/>
      <c r="I5" s="275"/>
      <c r="J5" s="275"/>
      <c r="K5" s="275"/>
      <c r="L5" s="275"/>
    </row>
    <row r="6" spans="1:12" s="276" customFormat="1" ht="18" x14ac:dyDescent="0.35">
      <c r="A6" s="273"/>
      <c r="B6" s="273"/>
      <c r="C6" s="273"/>
      <c r="D6" s="273"/>
      <c r="E6" s="273"/>
      <c r="F6" s="274"/>
      <c r="G6" s="273"/>
      <c r="H6" s="273"/>
      <c r="I6" s="275"/>
      <c r="J6" s="275"/>
      <c r="K6" s="275"/>
      <c r="L6" s="275"/>
    </row>
    <row r="7" spans="1:12" s="279" customFormat="1" ht="45" x14ac:dyDescent="0.3">
      <c r="A7" s="97" t="s">
        <v>5</v>
      </c>
      <c r="B7" s="96" t="s">
        <v>237</v>
      </c>
      <c r="C7" s="23" t="s">
        <v>170</v>
      </c>
      <c r="D7" s="96" t="s">
        <v>171</v>
      </c>
      <c r="E7" s="98" t="s">
        <v>174</v>
      </c>
      <c r="F7" s="99" t="s">
        <v>175</v>
      </c>
      <c r="G7" s="98" t="s">
        <v>172</v>
      </c>
      <c r="H7" s="99" t="s">
        <v>173</v>
      </c>
      <c r="I7" s="277"/>
      <c r="J7" s="278"/>
      <c r="K7" s="278"/>
      <c r="L7" s="278"/>
    </row>
    <row r="8" spans="1:12" s="259" customFormat="1" x14ac:dyDescent="0.3">
      <c r="A8" s="280" t="s">
        <v>201</v>
      </c>
      <c r="B8" s="281">
        <v>962737000.76999998</v>
      </c>
      <c r="C8" s="282">
        <f t="shared" ref="C8:C29" si="0">B8/$B$37</f>
        <v>8.2441812212824553E-2</v>
      </c>
      <c r="D8" s="283">
        <f>B8/$B$29</f>
        <v>0.1155650213816718</v>
      </c>
      <c r="E8" s="261">
        <v>242370</v>
      </c>
      <c r="F8" s="281">
        <f>B8/E8</f>
        <v>3972.1789032058423</v>
      </c>
      <c r="G8" s="284">
        <v>312347</v>
      </c>
      <c r="H8" s="281">
        <v>2984.8467785820535</v>
      </c>
      <c r="I8" s="267"/>
    </row>
    <row r="9" spans="1:12" s="259" customFormat="1" x14ac:dyDescent="0.3">
      <c r="A9" s="280" t="s">
        <v>202</v>
      </c>
      <c r="B9" s="281">
        <v>913142933.59000003</v>
      </c>
      <c r="C9" s="282">
        <f t="shared" si="0"/>
        <v>7.8194936098108209E-2</v>
      </c>
      <c r="D9" s="283">
        <f t="shared" ref="D9:D29" si="1">B9/$B$29</f>
        <v>0.10961184888546897</v>
      </c>
      <c r="E9" s="261">
        <v>1080855</v>
      </c>
      <c r="F9" s="281">
        <f t="shared" ref="F9:F29" si="2">B9/E9</f>
        <v>844.83388945788295</v>
      </c>
      <c r="G9" s="284">
        <v>1079272</v>
      </c>
      <c r="H9" s="281">
        <v>867.50922909132419</v>
      </c>
      <c r="I9" s="267"/>
    </row>
    <row r="10" spans="1:12" s="259" customFormat="1" x14ac:dyDescent="0.3">
      <c r="A10" s="280" t="s">
        <v>203</v>
      </c>
      <c r="B10" s="281">
        <v>17596</v>
      </c>
      <c r="C10" s="282">
        <f t="shared" si="0"/>
        <v>1.5067937832831082E-6</v>
      </c>
      <c r="D10" s="283">
        <f t="shared" si="1"/>
        <v>2.1121885983456663E-6</v>
      </c>
      <c r="E10" s="261">
        <v>20</v>
      </c>
      <c r="F10" s="281">
        <f t="shared" si="2"/>
        <v>879.8</v>
      </c>
      <c r="G10" s="284">
        <v>5</v>
      </c>
      <c r="H10" s="281">
        <v>-1449</v>
      </c>
      <c r="I10" s="267"/>
    </row>
    <row r="11" spans="1:12" s="259" customFormat="1" x14ac:dyDescent="0.3">
      <c r="A11" s="280" t="s">
        <v>198</v>
      </c>
      <c r="B11" s="281">
        <v>117601.01000000001</v>
      </c>
      <c r="C11" s="282">
        <f t="shared" si="0"/>
        <v>1.0070497316197695E-5</v>
      </c>
      <c r="D11" s="283">
        <f t="shared" si="1"/>
        <v>1.4116589706520499E-5</v>
      </c>
      <c r="E11" s="261">
        <v>8</v>
      </c>
      <c r="F11" s="281">
        <f t="shared" si="2"/>
        <v>14700.126250000001</v>
      </c>
      <c r="G11" s="284">
        <v>9</v>
      </c>
      <c r="H11" s="281">
        <v>13135.895555555555</v>
      </c>
      <c r="I11" s="267"/>
    </row>
    <row r="12" spans="1:12" s="259" customFormat="1" x14ac:dyDescent="0.3">
      <c r="A12" s="280" t="s">
        <v>204</v>
      </c>
      <c r="B12" s="281">
        <v>1186537632.4200001</v>
      </c>
      <c r="C12" s="282">
        <f t="shared" si="0"/>
        <v>0.10160647466253205</v>
      </c>
      <c r="D12" s="283">
        <f t="shared" si="1"/>
        <v>0.1424296009721292</v>
      </c>
      <c r="E12" s="261">
        <v>2231652</v>
      </c>
      <c r="F12" s="281">
        <f t="shared" si="2"/>
        <v>531.68577915373908</v>
      </c>
      <c r="G12" s="284">
        <v>2220573</v>
      </c>
      <c r="H12" s="281">
        <v>536.03846621055698</v>
      </c>
      <c r="I12" s="267"/>
    </row>
    <row r="13" spans="1:12" s="259" customFormat="1" x14ac:dyDescent="0.3">
      <c r="A13" s="280" t="s">
        <v>205</v>
      </c>
      <c r="B13" s="281">
        <v>126646946.42</v>
      </c>
      <c r="C13" s="282">
        <f t="shared" si="0"/>
        <v>1.084512568410121E-2</v>
      </c>
      <c r="D13" s="283">
        <f t="shared" si="1"/>
        <v>1.5202445796977639E-2</v>
      </c>
      <c r="E13" s="261">
        <v>461938</v>
      </c>
      <c r="F13" s="281">
        <f t="shared" si="2"/>
        <v>274.16438227640941</v>
      </c>
      <c r="G13" s="284">
        <v>461082</v>
      </c>
      <c r="H13" s="281">
        <v>276.62701007623372</v>
      </c>
      <c r="I13" s="267"/>
    </row>
    <row r="14" spans="1:12" s="259" customFormat="1" x14ac:dyDescent="0.3">
      <c r="A14" s="280" t="s">
        <v>206</v>
      </c>
      <c r="B14" s="281">
        <v>1218341841.2</v>
      </c>
      <c r="C14" s="282">
        <f t="shared" si="0"/>
        <v>0.10432995636700704</v>
      </c>
      <c r="D14" s="283">
        <f t="shared" si="1"/>
        <v>0.14624731449591422</v>
      </c>
      <c r="E14" s="261">
        <v>45931</v>
      </c>
      <c r="F14" s="281">
        <f t="shared" si="2"/>
        <v>26525.480420630949</v>
      </c>
      <c r="G14" s="284">
        <v>47948</v>
      </c>
      <c r="H14" s="281">
        <v>25034.681589847423</v>
      </c>
      <c r="I14" s="267"/>
    </row>
    <row r="15" spans="1:12" s="259" customFormat="1" x14ac:dyDescent="0.3">
      <c r="A15" s="280" t="s">
        <v>199</v>
      </c>
      <c r="B15" s="281">
        <v>1532976.32</v>
      </c>
      <c r="C15" s="282">
        <f t="shared" si="0"/>
        <v>1.3127297049876201E-4</v>
      </c>
      <c r="D15" s="283">
        <f t="shared" si="1"/>
        <v>1.8401540717423836E-4</v>
      </c>
      <c r="E15" s="261">
        <v>19</v>
      </c>
      <c r="F15" s="281">
        <f t="shared" si="2"/>
        <v>80682.964210526319</v>
      </c>
      <c r="G15" s="284">
        <v>23</v>
      </c>
      <c r="H15" s="281">
        <v>79162.407391304354</v>
      </c>
      <c r="I15" s="267"/>
    </row>
    <row r="16" spans="1:12" s="259" customFormat="1" x14ac:dyDescent="0.3">
      <c r="A16" s="280" t="s">
        <v>207</v>
      </c>
      <c r="B16" s="281">
        <v>364566643.94999999</v>
      </c>
      <c r="C16" s="282">
        <f t="shared" si="0"/>
        <v>3.1218842503764849E-2</v>
      </c>
      <c r="D16" s="283">
        <f t="shared" si="1"/>
        <v>4.3761849777695733E-2</v>
      </c>
      <c r="E16" s="261">
        <v>849996</v>
      </c>
      <c r="F16" s="281">
        <f t="shared" si="2"/>
        <v>428.90395243036437</v>
      </c>
      <c r="G16" s="284">
        <v>844856</v>
      </c>
      <c r="H16" s="281">
        <v>426.69231439443371</v>
      </c>
      <c r="I16" s="267"/>
    </row>
    <row r="17" spans="1:9" s="259" customFormat="1" x14ac:dyDescent="0.3">
      <c r="A17" s="280" t="s">
        <v>208</v>
      </c>
      <c r="B17" s="281">
        <v>1844115339.8800001</v>
      </c>
      <c r="C17" s="282">
        <f t="shared" si="0"/>
        <v>0.15791665888771311</v>
      </c>
      <c r="D17" s="283">
        <f t="shared" si="1"/>
        <v>0.22136391196458738</v>
      </c>
      <c r="E17" s="261">
        <v>1264605</v>
      </c>
      <c r="F17" s="281">
        <f t="shared" si="2"/>
        <v>1458.2540317964899</v>
      </c>
      <c r="G17" s="284">
        <v>1238188</v>
      </c>
      <c r="H17" s="281">
        <v>1444.6057997902351</v>
      </c>
      <c r="I17" s="267"/>
    </row>
    <row r="18" spans="1:9" s="259" customFormat="1" x14ac:dyDescent="0.3">
      <c r="A18" s="280" t="s">
        <v>209</v>
      </c>
      <c r="B18" s="281">
        <v>377339133.91000003</v>
      </c>
      <c r="C18" s="282">
        <f t="shared" si="0"/>
        <v>3.2312585881167324E-2</v>
      </c>
      <c r="D18" s="283">
        <f t="shared" si="1"/>
        <v>4.5295033891471395E-2</v>
      </c>
      <c r="E18" s="261">
        <v>273051</v>
      </c>
      <c r="F18" s="281">
        <f t="shared" si="2"/>
        <v>1381.9364657518192</v>
      </c>
      <c r="G18" s="284">
        <v>252279</v>
      </c>
      <c r="H18" s="281">
        <v>1423.1600149831063</v>
      </c>
      <c r="I18" s="267"/>
    </row>
    <row r="19" spans="1:9" s="259" customFormat="1" x14ac:dyDescent="0.3">
      <c r="A19" s="280" t="s">
        <v>210</v>
      </c>
      <c r="B19" s="281">
        <v>251674197</v>
      </c>
      <c r="C19" s="282">
        <f t="shared" si="0"/>
        <v>2.1551552367149823E-2</v>
      </c>
      <c r="D19" s="283">
        <f t="shared" si="1"/>
        <v>3.0210466549283992E-2</v>
      </c>
      <c r="E19" s="261">
        <v>12845</v>
      </c>
      <c r="F19" s="281">
        <f t="shared" si="2"/>
        <v>19593.164421954069</v>
      </c>
      <c r="G19" s="284">
        <v>12752</v>
      </c>
      <c r="H19" s="281">
        <v>18575.980859473151</v>
      </c>
      <c r="I19" s="267"/>
    </row>
    <row r="20" spans="1:9" s="259" customFormat="1" x14ac:dyDescent="0.3">
      <c r="A20" s="280" t="s">
        <v>211</v>
      </c>
      <c r="B20" s="281">
        <v>111363.42</v>
      </c>
      <c r="C20" s="282">
        <f t="shared" si="0"/>
        <v>9.5363553615108964E-6</v>
      </c>
      <c r="D20" s="283">
        <f t="shared" si="1"/>
        <v>1.3367841895702418E-5</v>
      </c>
      <c r="E20" s="261">
        <v>172</v>
      </c>
      <c r="F20" s="281">
        <f t="shared" si="2"/>
        <v>647.46174418604653</v>
      </c>
      <c r="G20" s="284">
        <v>187</v>
      </c>
      <c r="H20" s="281">
        <v>625.74</v>
      </c>
      <c r="I20" s="267"/>
    </row>
    <row r="21" spans="1:9" s="259" customFormat="1" x14ac:dyDescent="0.3">
      <c r="A21" s="280" t="s">
        <v>212</v>
      </c>
      <c r="B21" s="281">
        <v>98073836.939999998</v>
      </c>
      <c r="C21" s="282">
        <f t="shared" si="0"/>
        <v>8.398331882468359E-3</v>
      </c>
      <c r="D21" s="283">
        <f t="shared" si="1"/>
        <v>1.177258696184815E-2</v>
      </c>
      <c r="E21" s="261">
        <v>2594</v>
      </c>
      <c r="F21" s="281">
        <f t="shared" si="2"/>
        <v>37807.955643793372</v>
      </c>
      <c r="G21" s="284">
        <v>2486</v>
      </c>
      <c r="H21" s="281">
        <v>43145.021210780338</v>
      </c>
      <c r="I21" s="267"/>
    </row>
    <row r="22" spans="1:9" s="259" customFormat="1" x14ac:dyDescent="0.3">
      <c r="A22" s="280" t="s">
        <v>213</v>
      </c>
      <c r="B22" s="281">
        <v>419295589.38</v>
      </c>
      <c r="C22" s="282">
        <f t="shared" si="0"/>
        <v>3.5905432338929913E-2</v>
      </c>
      <c r="D22" s="283">
        <f t="shared" si="1"/>
        <v>5.0331402774781896E-2</v>
      </c>
      <c r="E22" s="261">
        <v>45691</v>
      </c>
      <c r="F22" s="281">
        <f t="shared" si="2"/>
        <v>9176.7654325797193</v>
      </c>
      <c r="G22" s="284">
        <v>49761</v>
      </c>
      <c r="H22" s="281">
        <v>9088.6582068286971</v>
      </c>
      <c r="I22" s="267"/>
    </row>
    <row r="23" spans="1:9" s="259" customFormat="1" x14ac:dyDescent="0.3">
      <c r="A23" s="280" t="s">
        <v>214</v>
      </c>
      <c r="B23" s="281">
        <v>72208518.459999993</v>
      </c>
      <c r="C23" s="282">
        <f t="shared" si="0"/>
        <v>6.1834136574000645E-3</v>
      </c>
      <c r="D23" s="283">
        <f t="shared" si="1"/>
        <v>8.6677659351355168E-3</v>
      </c>
      <c r="E23" s="261">
        <v>7337</v>
      </c>
      <c r="F23" s="281">
        <f t="shared" si="2"/>
        <v>9841.6953059833704</v>
      </c>
      <c r="G23" s="284">
        <v>7862</v>
      </c>
      <c r="H23" s="281">
        <v>8712.7798855253332</v>
      </c>
      <c r="I23" s="267"/>
    </row>
    <row r="24" spans="1:9" s="259" customFormat="1" x14ac:dyDescent="0.3">
      <c r="A24" s="280" t="s">
        <v>215</v>
      </c>
      <c r="B24" s="281">
        <v>93544162.370000005</v>
      </c>
      <c r="C24" s="282">
        <f t="shared" si="0"/>
        <v>8.0104434144999802E-3</v>
      </c>
      <c r="D24" s="283">
        <f t="shared" si="1"/>
        <v>1.1228853898596826E-2</v>
      </c>
      <c r="E24" s="261">
        <v>706024</v>
      </c>
      <c r="F24" s="281">
        <f t="shared" si="2"/>
        <v>132.49430949939381</v>
      </c>
      <c r="G24" s="284">
        <v>705295</v>
      </c>
      <c r="H24" s="281">
        <v>133.15270956180217</v>
      </c>
      <c r="I24" s="267"/>
    </row>
    <row r="25" spans="1:9" s="259" customFormat="1" x14ac:dyDescent="0.3">
      <c r="A25" s="280" t="s">
        <v>216</v>
      </c>
      <c r="B25" s="281">
        <v>111670645.03</v>
      </c>
      <c r="C25" s="282">
        <f t="shared" si="0"/>
        <v>9.5626638842020179E-3</v>
      </c>
      <c r="D25" s="283">
        <f t="shared" si="1"/>
        <v>1.3404720572986598E-2</v>
      </c>
      <c r="E25" s="261">
        <v>467304</v>
      </c>
      <c r="F25" s="281">
        <f t="shared" si="2"/>
        <v>238.96787750586341</v>
      </c>
      <c r="G25" s="284">
        <v>483492</v>
      </c>
      <c r="H25" s="281">
        <v>243.79537094731481</v>
      </c>
      <c r="I25" s="267"/>
    </row>
    <row r="26" spans="1:9" s="259" customFormat="1" x14ac:dyDescent="0.3">
      <c r="A26" s="94" t="s">
        <v>200</v>
      </c>
      <c r="B26" s="281">
        <v>6041.09</v>
      </c>
      <c r="C26" s="282">
        <f t="shared" si="0"/>
        <v>5.1731512026902434E-7</v>
      </c>
      <c r="D26" s="283">
        <f t="shared" si="1"/>
        <v>7.2516034437258596E-7</v>
      </c>
      <c r="E26" s="261">
        <v>162</v>
      </c>
      <c r="F26" s="281">
        <f t="shared" si="2"/>
        <v>37.290679012345677</v>
      </c>
      <c r="G26" s="284">
        <v>1235</v>
      </c>
      <c r="H26" s="281">
        <v>108.07383805668012</v>
      </c>
      <c r="I26" s="267"/>
    </row>
    <row r="27" spans="1:9" s="259" customFormat="1" x14ac:dyDescent="0.3">
      <c r="A27" s="280" t="s">
        <v>217</v>
      </c>
      <c r="B27" s="281">
        <v>128779987.22</v>
      </c>
      <c r="C27" s="282">
        <f t="shared" si="0"/>
        <v>1.1027783823276547E-2</v>
      </c>
      <c r="D27" s="283">
        <f t="shared" si="1"/>
        <v>1.5458491742508788E-2</v>
      </c>
      <c r="E27" s="261">
        <v>76284</v>
      </c>
      <c r="F27" s="281">
        <f t="shared" si="2"/>
        <v>1688.1651095904776</v>
      </c>
      <c r="G27" s="284">
        <v>68958</v>
      </c>
      <c r="H27" s="281">
        <v>1750.2631239306618</v>
      </c>
      <c r="I27" s="267"/>
    </row>
    <row r="28" spans="1:9" s="259" customFormat="1" x14ac:dyDescent="0.3">
      <c r="A28" s="280" t="s">
        <v>218</v>
      </c>
      <c r="B28" s="285">
        <v>160235489.28999999</v>
      </c>
      <c r="C28" s="286">
        <f t="shared" si="0"/>
        <v>1.3721404814929474E-2</v>
      </c>
      <c r="D28" s="287">
        <f t="shared" si="1"/>
        <v>1.923434721122284E-2</v>
      </c>
      <c r="E28" s="256">
        <v>617534</v>
      </c>
      <c r="F28" s="285">
        <f t="shared" si="2"/>
        <v>259.47638395618702</v>
      </c>
      <c r="G28" s="288">
        <v>579189</v>
      </c>
      <c r="H28" s="285">
        <v>284.60418842581925</v>
      </c>
      <c r="I28" s="267"/>
    </row>
    <row r="29" spans="1:9" s="292" customFormat="1" x14ac:dyDescent="0.3">
      <c r="A29" s="6" t="s">
        <v>1</v>
      </c>
      <c r="B29" s="289">
        <f>SUM(B8:B28)</f>
        <v>8330695475.6699991</v>
      </c>
      <c r="C29" s="290">
        <f t="shared" si="0"/>
        <v>0.71338032241215443</v>
      </c>
      <c r="D29" s="291">
        <f t="shared" si="1"/>
        <v>1</v>
      </c>
      <c r="E29" s="106">
        <v>2358000</v>
      </c>
      <c r="F29" s="293">
        <f t="shared" si="2"/>
        <v>3532.9497352290073</v>
      </c>
      <c r="G29" s="82"/>
      <c r="H29" s="82"/>
      <c r="I29" s="82"/>
    </row>
    <row r="30" spans="1:9" ht="15.75" x14ac:dyDescent="0.3">
      <c r="A30" s="6"/>
      <c r="B30" s="2"/>
      <c r="C30" s="104"/>
      <c r="D30" s="171"/>
      <c r="E30" s="4"/>
    </row>
    <row r="31" spans="1:9" s="267" customFormat="1" x14ac:dyDescent="0.3">
      <c r="A31" s="93" t="s">
        <v>165</v>
      </c>
      <c r="C31" s="282"/>
      <c r="F31" s="268"/>
      <c r="H31" s="294"/>
    </row>
    <row r="32" spans="1:9" s="267" customFormat="1" x14ac:dyDescent="0.3">
      <c r="A32" s="94" t="s">
        <v>166</v>
      </c>
      <c r="B32" s="295">
        <v>44917880.000000007</v>
      </c>
      <c r="C32" s="282">
        <f>B32/$B$37</f>
        <v>3.84644136975771E-3</v>
      </c>
      <c r="E32" s="261">
        <v>10312</v>
      </c>
      <c r="F32" s="268"/>
    </row>
    <row r="33" spans="1:17" s="267" customFormat="1" x14ac:dyDescent="0.3">
      <c r="A33" s="94" t="s">
        <v>167</v>
      </c>
      <c r="B33" s="281">
        <v>490646938.10129827</v>
      </c>
      <c r="C33" s="282">
        <f>B33/$B$37</f>
        <v>4.2015444198563776E-2</v>
      </c>
      <c r="E33" s="261">
        <v>372494</v>
      </c>
      <c r="F33" s="268"/>
    </row>
    <row r="34" spans="1:17" s="267" customFormat="1" x14ac:dyDescent="0.3">
      <c r="A34" s="280" t="s">
        <v>0</v>
      </c>
      <c r="B34" s="285">
        <v>2811515520.8200002</v>
      </c>
      <c r="C34" s="286">
        <f>B34/$B$37</f>
        <v>0.2407577920195241</v>
      </c>
      <c r="D34" s="296"/>
      <c r="E34" s="256">
        <v>2115737</v>
      </c>
      <c r="F34" s="298"/>
      <c r="G34" s="297"/>
      <c r="H34" s="296"/>
    </row>
    <row r="35" spans="1:17" s="267" customFormat="1" x14ac:dyDescent="0.3">
      <c r="A35" s="6" t="s">
        <v>168</v>
      </c>
      <c r="B35" s="289">
        <f>SUM(B32:B34)</f>
        <v>3347080338.9212985</v>
      </c>
      <c r="C35" s="290">
        <f>B35/$B$37</f>
        <v>0.28661967758784557</v>
      </c>
      <c r="E35" s="261">
        <v>2219084</v>
      </c>
      <c r="F35" s="268"/>
    </row>
    <row r="36" spans="1:17" x14ac:dyDescent="0.25">
      <c r="C36" s="104"/>
      <c r="D36" s="4"/>
    </row>
    <row r="37" spans="1:17" s="82" customFormat="1" x14ac:dyDescent="0.3">
      <c r="A37" s="95" t="s">
        <v>169</v>
      </c>
      <c r="B37" s="289">
        <f>B29+B35</f>
        <v>11677775814.591297</v>
      </c>
      <c r="C37" s="290">
        <f>B37/$B$37</f>
        <v>1</v>
      </c>
      <c r="F37" s="265"/>
    </row>
    <row r="38" spans="1:17" s="82" customFormat="1" x14ac:dyDescent="0.3">
      <c r="A38" s="444" t="s">
        <v>26</v>
      </c>
      <c r="B38" s="299"/>
      <c r="C38" s="300"/>
      <c r="D38" s="300"/>
      <c r="E38" s="106">
        <v>2446805</v>
      </c>
      <c r="G38" s="106">
        <v>2353049</v>
      </c>
    </row>
    <row r="39" spans="1:17" s="82" customFormat="1" x14ac:dyDescent="0.3">
      <c r="A39" s="93" t="s">
        <v>178</v>
      </c>
      <c r="B39" s="394">
        <f>+B37-B33-B32</f>
        <v>11142210996.49</v>
      </c>
      <c r="C39" s="300"/>
      <c r="D39" s="300"/>
      <c r="F39" s="270">
        <f>B37/E38</f>
        <v>4772.6630502190801</v>
      </c>
      <c r="G39" s="289"/>
      <c r="H39" s="270">
        <v>4899.8211983037136</v>
      </c>
    </row>
    <row r="40" spans="1:17" ht="15.75" x14ac:dyDescent="0.3">
      <c r="A40" s="93"/>
      <c r="B40" s="395"/>
    </row>
    <row r="41" spans="1:17" s="82" customFormat="1" x14ac:dyDescent="0.3">
      <c r="A41" s="105" t="s">
        <v>179</v>
      </c>
      <c r="B41" s="394">
        <v>58464737.93</v>
      </c>
      <c r="C41" s="300"/>
      <c r="D41" s="300"/>
      <c r="E41" s="106">
        <v>121087</v>
      </c>
      <c r="G41" s="106"/>
    </row>
    <row r="42" spans="1:17" x14ac:dyDescent="0.25">
      <c r="B42" s="3"/>
    </row>
    <row r="43" spans="1:17" s="239" customFormat="1" ht="15.75" x14ac:dyDescent="0.25">
      <c r="A43" s="453" t="s">
        <v>380</v>
      </c>
      <c r="B43" s="454"/>
      <c r="C43" s="454"/>
      <c r="D43" s="454"/>
      <c r="E43" s="454"/>
      <c r="F43" s="454"/>
      <c r="G43" s="454"/>
      <c r="H43" s="454"/>
      <c r="I43" s="454"/>
      <c r="J43" s="454"/>
      <c r="K43" s="454"/>
      <c r="L43" s="454"/>
      <c r="M43" s="454"/>
      <c r="N43" s="238"/>
      <c r="O43" s="238"/>
      <c r="P43" s="238"/>
      <c r="Q43" s="238"/>
    </row>
    <row r="44" spans="1:17" s="239" customFormat="1" ht="13.5" customHeight="1" x14ac:dyDescent="0.25">
      <c r="A44" s="241" t="s">
        <v>381</v>
      </c>
      <c r="B44" s="242"/>
      <c r="C44" s="242"/>
      <c r="D44" s="242"/>
      <c r="E44" s="242"/>
      <c r="F44" s="242"/>
      <c r="G44" s="242"/>
      <c r="H44" s="242"/>
      <c r="I44" s="242"/>
      <c r="J44" s="242"/>
      <c r="K44" s="242"/>
      <c r="L44" s="242"/>
      <c r="M44" s="242"/>
      <c r="N44" s="238"/>
      <c r="O44" s="238"/>
      <c r="P44" s="238"/>
      <c r="Q44" s="238"/>
    </row>
    <row r="45" spans="1:17" s="239" customFormat="1" ht="13.5" customHeight="1" x14ac:dyDescent="0.25">
      <c r="A45" s="241" t="s">
        <v>382</v>
      </c>
      <c r="B45" s="242"/>
      <c r="C45" s="242"/>
      <c r="D45" s="242"/>
      <c r="E45" s="242"/>
      <c r="F45" s="242"/>
      <c r="G45" s="242"/>
      <c r="H45" s="242"/>
      <c r="I45" s="242"/>
      <c r="J45" s="242"/>
      <c r="K45" s="242"/>
      <c r="L45" s="242"/>
      <c r="M45" s="242"/>
      <c r="N45" s="238"/>
      <c r="O45" s="238"/>
      <c r="P45" s="238"/>
      <c r="Q45" s="238"/>
    </row>
    <row r="46" spans="1:17" x14ac:dyDescent="0.25">
      <c r="A46" t="s">
        <v>187</v>
      </c>
      <c r="C46" s="240"/>
    </row>
    <row r="48" spans="1:17" x14ac:dyDescent="0.25">
      <c r="B48" s="301"/>
    </row>
  </sheetData>
  <mergeCells count="4">
    <mergeCell ref="A1:H1"/>
    <mergeCell ref="A2:H2"/>
    <mergeCell ref="A3:H3"/>
    <mergeCell ref="A43:M43"/>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election sqref="A1:H1"/>
    </sheetView>
  </sheetViews>
  <sheetFormatPr defaultRowHeight="16.5" x14ac:dyDescent="0.3"/>
  <cols>
    <col min="1" max="1" width="53.140625" style="69" customWidth="1"/>
    <col min="2" max="2" width="22.5703125" style="63" customWidth="1"/>
    <col min="3" max="3" width="11.5703125" style="63" bestFit="1" customWidth="1"/>
    <col min="4" max="4" width="15.140625" style="63" customWidth="1"/>
    <col min="5" max="5" width="11.7109375" style="63" bestFit="1" customWidth="1"/>
    <col min="6" max="6" width="17.85546875" style="63" customWidth="1"/>
    <col min="7" max="7" width="16.42578125" style="63" customWidth="1"/>
    <col min="8" max="8" width="13.7109375" style="63" customWidth="1"/>
    <col min="9" max="256" width="9.140625" style="68"/>
    <col min="257" max="257" width="53.140625" style="68" customWidth="1"/>
    <col min="258" max="258" width="22.5703125" style="68" customWidth="1"/>
    <col min="259" max="259" width="13.5703125" style="68" customWidth="1"/>
    <col min="260" max="260" width="14.85546875" style="68" customWidth="1"/>
    <col min="261" max="261" width="15" style="68" customWidth="1"/>
    <col min="262" max="263" width="16.42578125" style="68" customWidth="1"/>
    <col min="264" max="264" width="11.7109375" style="68" customWidth="1"/>
    <col min="265" max="512" width="9.140625" style="68"/>
    <col min="513" max="513" width="53.140625" style="68" customWidth="1"/>
    <col min="514" max="514" width="22.5703125" style="68" customWidth="1"/>
    <col min="515" max="515" width="13.5703125" style="68" customWidth="1"/>
    <col min="516" max="516" width="14.85546875" style="68" customWidth="1"/>
    <col min="517" max="517" width="15" style="68" customWidth="1"/>
    <col min="518" max="519" width="16.42578125" style="68" customWidth="1"/>
    <col min="520" max="520" width="11.7109375" style="68" customWidth="1"/>
    <col min="521" max="768" width="9.140625" style="68"/>
    <col min="769" max="769" width="53.140625" style="68" customWidth="1"/>
    <col min="770" max="770" width="22.5703125" style="68" customWidth="1"/>
    <col min="771" max="771" width="13.5703125" style="68" customWidth="1"/>
    <col min="772" max="772" width="14.85546875" style="68" customWidth="1"/>
    <col min="773" max="773" width="15" style="68" customWidth="1"/>
    <col min="774" max="775" width="16.42578125" style="68" customWidth="1"/>
    <col min="776" max="776" width="11.7109375" style="68" customWidth="1"/>
    <col min="777" max="1024" width="9.140625" style="68"/>
    <col min="1025" max="1025" width="53.140625" style="68" customWidth="1"/>
    <col min="1026" max="1026" width="22.5703125" style="68" customWidth="1"/>
    <col min="1027" max="1027" width="13.5703125" style="68" customWidth="1"/>
    <col min="1028" max="1028" width="14.85546875" style="68" customWidth="1"/>
    <col min="1029" max="1029" width="15" style="68" customWidth="1"/>
    <col min="1030" max="1031" width="16.42578125" style="68" customWidth="1"/>
    <col min="1032" max="1032" width="11.7109375" style="68" customWidth="1"/>
    <col min="1033" max="1280" width="9.140625" style="68"/>
    <col min="1281" max="1281" width="53.140625" style="68" customWidth="1"/>
    <col min="1282" max="1282" width="22.5703125" style="68" customWidth="1"/>
    <col min="1283" max="1283" width="13.5703125" style="68" customWidth="1"/>
    <col min="1284" max="1284" width="14.85546875" style="68" customWidth="1"/>
    <col min="1285" max="1285" width="15" style="68" customWidth="1"/>
    <col min="1286" max="1287" width="16.42578125" style="68" customWidth="1"/>
    <col min="1288" max="1288" width="11.7109375" style="68" customWidth="1"/>
    <col min="1289" max="1536" width="9.140625" style="68"/>
    <col min="1537" max="1537" width="53.140625" style="68" customWidth="1"/>
    <col min="1538" max="1538" width="22.5703125" style="68" customWidth="1"/>
    <col min="1539" max="1539" width="13.5703125" style="68" customWidth="1"/>
    <col min="1540" max="1540" width="14.85546875" style="68" customWidth="1"/>
    <col min="1541" max="1541" width="15" style="68" customWidth="1"/>
    <col min="1542" max="1543" width="16.42578125" style="68" customWidth="1"/>
    <col min="1544" max="1544" width="11.7109375" style="68" customWidth="1"/>
    <col min="1545" max="1792" width="9.140625" style="68"/>
    <col min="1793" max="1793" width="53.140625" style="68" customWidth="1"/>
    <col min="1794" max="1794" width="22.5703125" style="68" customWidth="1"/>
    <col min="1795" max="1795" width="13.5703125" style="68" customWidth="1"/>
    <col min="1796" max="1796" width="14.85546875" style="68" customWidth="1"/>
    <col min="1797" max="1797" width="15" style="68" customWidth="1"/>
    <col min="1798" max="1799" width="16.42578125" style="68" customWidth="1"/>
    <col min="1800" max="1800" width="11.7109375" style="68" customWidth="1"/>
    <col min="1801" max="2048" width="9.140625" style="68"/>
    <col min="2049" max="2049" width="53.140625" style="68" customWidth="1"/>
    <col min="2050" max="2050" width="22.5703125" style="68" customWidth="1"/>
    <col min="2051" max="2051" width="13.5703125" style="68" customWidth="1"/>
    <col min="2052" max="2052" width="14.85546875" style="68" customWidth="1"/>
    <col min="2053" max="2053" width="15" style="68" customWidth="1"/>
    <col min="2054" max="2055" width="16.42578125" style="68" customWidth="1"/>
    <col min="2056" max="2056" width="11.7109375" style="68" customWidth="1"/>
    <col min="2057" max="2304" width="9.140625" style="68"/>
    <col min="2305" max="2305" width="53.140625" style="68" customWidth="1"/>
    <col min="2306" max="2306" width="22.5703125" style="68" customWidth="1"/>
    <col min="2307" max="2307" width="13.5703125" style="68" customWidth="1"/>
    <col min="2308" max="2308" width="14.85546875" style="68" customWidth="1"/>
    <col min="2309" max="2309" width="15" style="68" customWidth="1"/>
    <col min="2310" max="2311" width="16.42578125" style="68" customWidth="1"/>
    <col min="2312" max="2312" width="11.7109375" style="68" customWidth="1"/>
    <col min="2313" max="2560" width="9.140625" style="68"/>
    <col min="2561" max="2561" width="53.140625" style="68" customWidth="1"/>
    <col min="2562" max="2562" width="22.5703125" style="68" customWidth="1"/>
    <col min="2563" max="2563" width="13.5703125" style="68" customWidth="1"/>
    <col min="2564" max="2564" width="14.85546875" style="68" customWidth="1"/>
    <col min="2565" max="2565" width="15" style="68" customWidth="1"/>
    <col min="2566" max="2567" width="16.42578125" style="68" customWidth="1"/>
    <col min="2568" max="2568" width="11.7109375" style="68" customWidth="1"/>
    <col min="2569" max="2816" width="9.140625" style="68"/>
    <col min="2817" max="2817" width="53.140625" style="68" customWidth="1"/>
    <col min="2818" max="2818" width="22.5703125" style="68" customWidth="1"/>
    <col min="2819" max="2819" width="13.5703125" style="68" customWidth="1"/>
    <col min="2820" max="2820" width="14.85546875" style="68" customWidth="1"/>
    <col min="2821" max="2821" width="15" style="68" customWidth="1"/>
    <col min="2822" max="2823" width="16.42578125" style="68" customWidth="1"/>
    <col min="2824" max="2824" width="11.7109375" style="68" customWidth="1"/>
    <col min="2825" max="3072" width="9.140625" style="68"/>
    <col min="3073" max="3073" width="53.140625" style="68" customWidth="1"/>
    <col min="3074" max="3074" width="22.5703125" style="68" customWidth="1"/>
    <col min="3075" max="3075" width="13.5703125" style="68" customWidth="1"/>
    <col min="3076" max="3076" width="14.85546875" style="68" customWidth="1"/>
    <col min="3077" max="3077" width="15" style="68" customWidth="1"/>
    <col min="3078" max="3079" width="16.42578125" style="68" customWidth="1"/>
    <col min="3080" max="3080" width="11.7109375" style="68" customWidth="1"/>
    <col min="3081" max="3328" width="9.140625" style="68"/>
    <col min="3329" max="3329" width="53.140625" style="68" customWidth="1"/>
    <col min="3330" max="3330" width="22.5703125" style="68" customWidth="1"/>
    <col min="3331" max="3331" width="13.5703125" style="68" customWidth="1"/>
    <col min="3332" max="3332" width="14.85546875" style="68" customWidth="1"/>
    <col min="3333" max="3333" width="15" style="68" customWidth="1"/>
    <col min="3334" max="3335" width="16.42578125" style="68" customWidth="1"/>
    <col min="3336" max="3336" width="11.7109375" style="68" customWidth="1"/>
    <col min="3337" max="3584" width="9.140625" style="68"/>
    <col min="3585" max="3585" width="53.140625" style="68" customWidth="1"/>
    <col min="3586" max="3586" width="22.5703125" style="68" customWidth="1"/>
    <col min="3587" max="3587" width="13.5703125" style="68" customWidth="1"/>
    <col min="3588" max="3588" width="14.85546875" style="68" customWidth="1"/>
    <col min="3589" max="3589" width="15" style="68" customWidth="1"/>
    <col min="3590" max="3591" width="16.42578125" style="68" customWidth="1"/>
    <col min="3592" max="3592" width="11.7109375" style="68" customWidth="1"/>
    <col min="3593" max="3840" width="9.140625" style="68"/>
    <col min="3841" max="3841" width="53.140625" style="68" customWidth="1"/>
    <col min="3842" max="3842" width="22.5703125" style="68" customWidth="1"/>
    <col min="3843" max="3843" width="13.5703125" style="68" customWidth="1"/>
    <col min="3844" max="3844" width="14.85546875" style="68" customWidth="1"/>
    <col min="3845" max="3845" width="15" style="68" customWidth="1"/>
    <col min="3846" max="3847" width="16.42578125" style="68" customWidth="1"/>
    <col min="3848" max="3848" width="11.7109375" style="68" customWidth="1"/>
    <col min="3849" max="4096" width="9.140625" style="68"/>
    <col min="4097" max="4097" width="53.140625" style="68" customWidth="1"/>
    <col min="4098" max="4098" width="22.5703125" style="68" customWidth="1"/>
    <col min="4099" max="4099" width="13.5703125" style="68" customWidth="1"/>
    <col min="4100" max="4100" width="14.85546875" style="68" customWidth="1"/>
    <col min="4101" max="4101" width="15" style="68" customWidth="1"/>
    <col min="4102" max="4103" width="16.42578125" style="68" customWidth="1"/>
    <col min="4104" max="4104" width="11.7109375" style="68" customWidth="1"/>
    <col min="4105" max="4352" width="9.140625" style="68"/>
    <col min="4353" max="4353" width="53.140625" style="68" customWidth="1"/>
    <col min="4354" max="4354" width="22.5703125" style="68" customWidth="1"/>
    <col min="4355" max="4355" width="13.5703125" style="68" customWidth="1"/>
    <col min="4356" max="4356" width="14.85546875" style="68" customWidth="1"/>
    <col min="4357" max="4357" width="15" style="68" customWidth="1"/>
    <col min="4358" max="4359" width="16.42578125" style="68" customWidth="1"/>
    <col min="4360" max="4360" width="11.7109375" style="68" customWidth="1"/>
    <col min="4361" max="4608" width="9.140625" style="68"/>
    <col min="4609" max="4609" width="53.140625" style="68" customWidth="1"/>
    <col min="4610" max="4610" width="22.5703125" style="68" customWidth="1"/>
    <col min="4611" max="4611" width="13.5703125" style="68" customWidth="1"/>
    <col min="4612" max="4612" width="14.85546875" style="68" customWidth="1"/>
    <col min="4613" max="4613" width="15" style="68" customWidth="1"/>
    <col min="4614" max="4615" width="16.42578125" style="68" customWidth="1"/>
    <col min="4616" max="4616" width="11.7109375" style="68" customWidth="1"/>
    <col min="4617" max="4864" width="9.140625" style="68"/>
    <col min="4865" max="4865" width="53.140625" style="68" customWidth="1"/>
    <col min="4866" max="4866" width="22.5703125" style="68" customWidth="1"/>
    <col min="4867" max="4867" width="13.5703125" style="68" customWidth="1"/>
    <col min="4868" max="4868" width="14.85546875" style="68" customWidth="1"/>
    <col min="4869" max="4869" width="15" style="68" customWidth="1"/>
    <col min="4870" max="4871" width="16.42578125" style="68" customWidth="1"/>
    <col min="4872" max="4872" width="11.7109375" style="68" customWidth="1"/>
    <col min="4873" max="5120" width="9.140625" style="68"/>
    <col min="5121" max="5121" width="53.140625" style="68" customWidth="1"/>
    <col min="5122" max="5122" width="22.5703125" style="68" customWidth="1"/>
    <col min="5123" max="5123" width="13.5703125" style="68" customWidth="1"/>
    <col min="5124" max="5124" width="14.85546875" style="68" customWidth="1"/>
    <col min="5125" max="5125" width="15" style="68" customWidth="1"/>
    <col min="5126" max="5127" width="16.42578125" style="68" customWidth="1"/>
    <col min="5128" max="5128" width="11.7109375" style="68" customWidth="1"/>
    <col min="5129" max="5376" width="9.140625" style="68"/>
    <col min="5377" max="5377" width="53.140625" style="68" customWidth="1"/>
    <col min="5378" max="5378" width="22.5703125" style="68" customWidth="1"/>
    <col min="5379" max="5379" width="13.5703125" style="68" customWidth="1"/>
    <col min="5380" max="5380" width="14.85546875" style="68" customWidth="1"/>
    <col min="5381" max="5381" width="15" style="68" customWidth="1"/>
    <col min="5382" max="5383" width="16.42578125" style="68" customWidth="1"/>
    <col min="5384" max="5384" width="11.7109375" style="68" customWidth="1"/>
    <col min="5385" max="5632" width="9.140625" style="68"/>
    <col min="5633" max="5633" width="53.140625" style="68" customWidth="1"/>
    <col min="5634" max="5634" width="22.5703125" style="68" customWidth="1"/>
    <col min="5635" max="5635" width="13.5703125" style="68" customWidth="1"/>
    <col min="5636" max="5636" width="14.85546875" style="68" customWidth="1"/>
    <col min="5637" max="5637" width="15" style="68" customWidth="1"/>
    <col min="5638" max="5639" width="16.42578125" style="68" customWidth="1"/>
    <col min="5640" max="5640" width="11.7109375" style="68" customWidth="1"/>
    <col min="5641" max="5888" width="9.140625" style="68"/>
    <col min="5889" max="5889" width="53.140625" style="68" customWidth="1"/>
    <col min="5890" max="5890" width="22.5703125" style="68" customWidth="1"/>
    <col min="5891" max="5891" width="13.5703125" style="68" customWidth="1"/>
    <col min="5892" max="5892" width="14.85546875" style="68" customWidth="1"/>
    <col min="5893" max="5893" width="15" style="68" customWidth="1"/>
    <col min="5894" max="5895" width="16.42578125" style="68" customWidth="1"/>
    <col min="5896" max="5896" width="11.7109375" style="68" customWidth="1"/>
    <col min="5897" max="6144" width="9.140625" style="68"/>
    <col min="6145" max="6145" width="53.140625" style="68" customWidth="1"/>
    <col min="6146" max="6146" width="22.5703125" style="68" customWidth="1"/>
    <col min="6147" max="6147" width="13.5703125" style="68" customWidth="1"/>
    <col min="6148" max="6148" width="14.85546875" style="68" customWidth="1"/>
    <col min="6149" max="6149" width="15" style="68" customWidth="1"/>
    <col min="6150" max="6151" width="16.42578125" style="68" customWidth="1"/>
    <col min="6152" max="6152" width="11.7109375" style="68" customWidth="1"/>
    <col min="6153" max="6400" width="9.140625" style="68"/>
    <col min="6401" max="6401" width="53.140625" style="68" customWidth="1"/>
    <col min="6402" max="6402" width="22.5703125" style="68" customWidth="1"/>
    <col min="6403" max="6403" width="13.5703125" style="68" customWidth="1"/>
    <col min="6404" max="6404" width="14.85546875" style="68" customWidth="1"/>
    <col min="6405" max="6405" width="15" style="68" customWidth="1"/>
    <col min="6406" max="6407" width="16.42578125" style="68" customWidth="1"/>
    <col min="6408" max="6408" width="11.7109375" style="68" customWidth="1"/>
    <col min="6409" max="6656" width="9.140625" style="68"/>
    <col min="6657" max="6657" width="53.140625" style="68" customWidth="1"/>
    <col min="6658" max="6658" width="22.5703125" style="68" customWidth="1"/>
    <col min="6659" max="6659" width="13.5703125" style="68" customWidth="1"/>
    <col min="6660" max="6660" width="14.85546875" style="68" customWidth="1"/>
    <col min="6661" max="6661" width="15" style="68" customWidth="1"/>
    <col min="6662" max="6663" width="16.42578125" style="68" customWidth="1"/>
    <col min="6664" max="6664" width="11.7109375" style="68" customWidth="1"/>
    <col min="6665" max="6912" width="9.140625" style="68"/>
    <col min="6913" max="6913" width="53.140625" style="68" customWidth="1"/>
    <col min="6914" max="6914" width="22.5703125" style="68" customWidth="1"/>
    <col min="6915" max="6915" width="13.5703125" style="68" customWidth="1"/>
    <col min="6916" max="6916" width="14.85546875" style="68" customWidth="1"/>
    <col min="6917" max="6917" width="15" style="68" customWidth="1"/>
    <col min="6918" max="6919" width="16.42578125" style="68" customWidth="1"/>
    <col min="6920" max="6920" width="11.7109375" style="68" customWidth="1"/>
    <col min="6921" max="7168" width="9.140625" style="68"/>
    <col min="7169" max="7169" width="53.140625" style="68" customWidth="1"/>
    <col min="7170" max="7170" width="22.5703125" style="68" customWidth="1"/>
    <col min="7171" max="7171" width="13.5703125" style="68" customWidth="1"/>
    <col min="7172" max="7172" width="14.85546875" style="68" customWidth="1"/>
    <col min="7173" max="7173" width="15" style="68" customWidth="1"/>
    <col min="7174" max="7175" width="16.42578125" style="68" customWidth="1"/>
    <col min="7176" max="7176" width="11.7109375" style="68" customWidth="1"/>
    <col min="7177" max="7424" width="9.140625" style="68"/>
    <col min="7425" max="7425" width="53.140625" style="68" customWidth="1"/>
    <col min="7426" max="7426" width="22.5703125" style="68" customWidth="1"/>
    <col min="7427" max="7427" width="13.5703125" style="68" customWidth="1"/>
    <col min="7428" max="7428" width="14.85546875" style="68" customWidth="1"/>
    <col min="7429" max="7429" width="15" style="68" customWidth="1"/>
    <col min="7430" max="7431" width="16.42578125" style="68" customWidth="1"/>
    <col min="7432" max="7432" width="11.7109375" style="68" customWidth="1"/>
    <col min="7433" max="7680" width="9.140625" style="68"/>
    <col min="7681" max="7681" width="53.140625" style="68" customWidth="1"/>
    <col min="7682" max="7682" width="22.5703125" style="68" customWidth="1"/>
    <col min="7683" max="7683" width="13.5703125" style="68" customWidth="1"/>
    <col min="7684" max="7684" width="14.85546875" style="68" customWidth="1"/>
    <col min="7685" max="7685" width="15" style="68" customWidth="1"/>
    <col min="7686" max="7687" width="16.42578125" style="68" customWidth="1"/>
    <col min="7688" max="7688" width="11.7109375" style="68" customWidth="1"/>
    <col min="7689" max="7936" width="9.140625" style="68"/>
    <col min="7937" max="7937" width="53.140625" style="68" customWidth="1"/>
    <col min="7938" max="7938" width="22.5703125" style="68" customWidth="1"/>
    <col min="7939" max="7939" width="13.5703125" style="68" customWidth="1"/>
    <col min="7940" max="7940" width="14.85546875" style="68" customWidth="1"/>
    <col min="7941" max="7941" width="15" style="68" customWidth="1"/>
    <col min="7942" max="7943" width="16.42578125" style="68" customWidth="1"/>
    <col min="7944" max="7944" width="11.7109375" style="68" customWidth="1"/>
    <col min="7945" max="8192" width="9.140625" style="68"/>
    <col min="8193" max="8193" width="53.140625" style="68" customWidth="1"/>
    <col min="8194" max="8194" width="22.5703125" style="68" customWidth="1"/>
    <col min="8195" max="8195" width="13.5703125" style="68" customWidth="1"/>
    <col min="8196" max="8196" width="14.85546875" style="68" customWidth="1"/>
    <col min="8197" max="8197" width="15" style="68" customWidth="1"/>
    <col min="8198" max="8199" width="16.42578125" style="68" customWidth="1"/>
    <col min="8200" max="8200" width="11.7109375" style="68" customWidth="1"/>
    <col min="8201" max="8448" width="9.140625" style="68"/>
    <col min="8449" max="8449" width="53.140625" style="68" customWidth="1"/>
    <col min="8450" max="8450" width="22.5703125" style="68" customWidth="1"/>
    <col min="8451" max="8451" width="13.5703125" style="68" customWidth="1"/>
    <col min="8452" max="8452" width="14.85546875" style="68" customWidth="1"/>
    <col min="8453" max="8453" width="15" style="68" customWidth="1"/>
    <col min="8454" max="8455" width="16.42578125" style="68" customWidth="1"/>
    <col min="8456" max="8456" width="11.7109375" style="68" customWidth="1"/>
    <col min="8457" max="8704" width="9.140625" style="68"/>
    <col min="8705" max="8705" width="53.140625" style="68" customWidth="1"/>
    <col min="8706" max="8706" width="22.5703125" style="68" customWidth="1"/>
    <col min="8707" max="8707" width="13.5703125" style="68" customWidth="1"/>
    <col min="8708" max="8708" width="14.85546875" style="68" customWidth="1"/>
    <col min="8709" max="8709" width="15" style="68" customWidth="1"/>
    <col min="8710" max="8711" width="16.42578125" style="68" customWidth="1"/>
    <col min="8712" max="8712" width="11.7109375" style="68" customWidth="1"/>
    <col min="8713" max="8960" width="9.140625" style="68"/>
    <col min="8961" max="8961" width="53.140625" style="68" customWidth="1"/>
    <col min="8962" max="8962" width="22.5703125" style="68" customWidth="1"/>
    <col min="8963" max="8963" width="13.5703125" style="68" customWidth="1"/>
    <col min="8964" max="8964" width="14.85546875" style="68" customWidth="1"/>
    <col min="8965" max="8965" width="15" style="68" customWidth="1"/>
    <col min="8966" max="8967" width="16.42578125" style="68" customWidth="1"/>
    <col min="8968" max="8968" width="11.7109375" style="68" customWidth="1"/>
    <col min="8969" max="9216" width="9.140625" style="68"/>
    <col min="9217" max="9217" width="53.140625" style="68" customWidth="1"/>
    <col min="9218" max="9218" width="22.5703125" style="68" customWidth="1"/>
    <col min="9219" max="9219" width="13.5703125" style="68" customWidth="1"/>
    <col min="9220" max="9220" width="14.85546875" style="68" customWidth="1"/>
    <col min="9221" max="9221" width="15" style="68" customWidth="1"/>
    <col min="9222" max="9223" width="16.42578125" style="68" customWidth="1"/>
    <col min="9224" max="9224" width="11.7109375" style="68" customWidth="1"/>
    <col min="9225" max="9472" width="9.140625" style="68"/>
    <col min="9473" max="9473" width="53.140625" style="68" customWidth="1"/>
    <col min="9474" max="9474" width="22.5703125" style="68" customWidth="1"/>
    <col min="9475" max="9475" width="13.5703125" style="68" customWidth="1"/>
    <col min="9476" max="9476" width="14.85546875" style="68" customWidth="1"/>
    <col min="9477" max="9477" width="15" style="68" customWidth="1"/>
    <col min="9478" max="9479" width="16.42578125" style="68" customWidth="1"/>
    <col min="9480" max="9480" width="11.7109375" style="68" customWidth="1"/>
    <col min="9481" max="9728" width="9.140625" style="68"/>
    <col min="9729" max="9729" width="53.140625" style="68" customWidth="1"/>
    <col min="9730" max="9730" width="22.5703125" style="68" customWidth="1"/>
    <col min="9731" max="9731" width="13.5703125" style="68" customWidth="1"/>
    <col min="9732" max="9732" width="14.85546875" style="68" customWidth="1"/>
    <col min="9733" max="9733" width="15" style="68" customWidth="1"/>
    <col min="9734" max="9735" width="16.42578125" style="68" customWidth="1"/>
    <col min="9736" max="9736" width="11.7109375" style="68" customWidth="1"/>
    <col min="9737" max="9984" width="9.140625" style="68"/>
    <col min="9985" max="9985" width="53.140625" style="68" customWidth="1"/>
    <col min="9986" max="9986" width="22.5703125" style="68" customWidth="1"/>
    <col min="9987" max="9987" width="13.5703125" style="68" customWidth="1"/>
    <col min="9988" max="9988" width="14.85546875" style="68" customWidth="1"/>
    <col min="9989" max="9989" width="15" style="68" customWidth="1"/>
    <col min="9990" max="9991" width="16.42578125" style="68" customWidth="1"/>
    <col min="9992" max="9992" width="11.7109375" style="68" customWidth="1"/>
    <col min="9993" max="10240" width="9.140625" style="68"/>
    <col min="10241" max="10241" width="53.140625" style="68" customWidth="1"/>
    <col min="10242" max="10242" width="22.5703125" style="68" customWidth="1"/>
    <col min="10243" max="10243" width="13.5703125" style="68" customWidth="1"/>
    <col min="10244" max="10244" width="14.85546875" style="68" customWidth="1"/>
    <col min="10245" max="10245" width="15" style="68" customWidth="1"/>
    <col min="10246" max="10247" width="16.42578125" style="68" customWidth="1"/>
    <col min="10248" max="10248" width="11.7109375" style="68" customWidth="1"/>
    <col min="10249" max="10496" width="9.140625" style="68"/>
    <col min="10497" max="10497" width="53.140625" style="68" customWidth="1"/>
    <col min="10498" max="10498" width="22.5703125" style="68" customWidth="1"/>
    <col min="10499" max="10499" width="13.5703125" style="68" customWidth="1"/>
    <col min="10500" max="10500" width="14.85546875" style="68" customWidth="1"/>
    <col min="10501" max="10501" width="15" style="68" customWidth="1"/>
    <col min="10502" max="10503" width="16.42578125" style="68" customWidth="1"/>
    <col min="10504" max="10504" width="11.7109375" style="68" customWidth="1"/>
    <col min="10505" max="10752" width="9.140625" style="68"/>
    <col min="10753" max="10753" width="53.140625" style="68" customWidth="1"/>
    <col min="10754" max="10754" width="22.5703125" style="68" customWidth="1"/>
    <col min="10755" max="10755" width="13.5703125" style="68" customWidth="1"/>
    <col min="10756" max="10756" width="14.85546875" style="68" customWidth="1"/>
    <col min="10757" max="10757" width="15" style="68" customWidth="1"/>
    <col min="10758" max="10759" width="16.42578125" style="68" customWidth="1"/>
    <col min="10760" max="10760" width="11.7109375" style="68" customWidth="1"/>
    <col min="10761" max="11008" width="9.140625" style="68"/>
    <col min="11009" max="11009" width="53.140625" style="68" customWidth="1"/>
    <col min="11010" max="11010" width="22.5703125" style="68" customWidth="1"/>
    <col min="11011" max="11011" width="13.5703125" style="68" customWidth="1"/>
    <col min="11012" max="11012" width="14.85546875" style="68" customWidth="1"/>
    <col min="11013" max="11013" width="15" style="68" customWidth="1"/>
    <col min="11014" max="11015" width="16.42578125" style="68" customWidth="1"/>
    <col min="11016" max="11016" width="11.7109375" style="68" customWidth="1"/>
    <col min="11017" max="11264" width="9.140625" style="68"/>
    <col min="11265" max="11265" width="53.140625" style="68" customWidth="1"/>
    <col min="11266" max="11266" width="22.5703125" style="68" customWidth="1"/>
    <col min="11267" max="11267" width="13.5703125" style="68" customWidth="1"/>
    <col min="11268" max="11268" width="14.85546875" style="68" customWidth="1"/>
    <col min="11269" max="11269" width="15" style="68" customWidth="1"/>
    <col min="11270" max="11271" width="16.42578125" style="68" customWidth="1"/>
    <col min="11272" max="11272" width="11.7109375" style="68" customWidth="1"/>
    <col min="11273" max="11520" width="9.140625" style="68"/>
    <col min="11521" max="11521" width="53.140625" style="68" customWidth="1"/>
    <col min="11522" max="11522" width="22.5703125" style="68" customWidth="1"/>
    <col min="11523" max="11523" width="13.5703125" style="68" customWidth="1"/>
    <col min="11524" max="11524" width="14.85546875" style="68" customWidth="1"/>
    <col min="11525" max="11525" width="15" style="68" customWidth="1"/>
    <col min="11526" max="11527" width="16.42578125" style="68" customWidth="1"/>
    <col min="11528" max="11528" width="11.7109375" style="68" customWidth="1"/>
    <col min="11529" max="11776" width="9.140625" style="68"/>
    <col min="11777" max="11777" width="53.140625" style="68" customWidth="1"/>
    <col min="11778" max="11778" width="22.5703125" style="68" customWidth="1"/>
    <col min="11779" max="11779" width="13.5703125" style="68" customWidth="1"/>
    <col min="11780" max="11780" width="14.85546875" style="68" customWidth="1"/>
    <col min="11781" max="11781" width="15" style="68" customWidth="1"/>
    <col min="11782" max="11783" width="16.42578125" style="68" customWidth="1"/>
    <col min="11784" max="11784" width="11.7109375" style="68" customWidth="1"/>
    <col min="11785" max="12032" width="9.140625" style="68"/>
    <col min="12033" max="12033" width="53.140625" style="68" customWidth="1"/>
    <col min="12034" max="12034" width="22.5703125" style="68" customWidth="1"/>
    <col min="12035" max="12035" width="13.5703125" style="68" customWidth="1"/>
    <col min="12036" max="12036" width="14.85546875" style="68" customWidth="1"/>
    <col min="12037" max="12037" width="15" style="68" customWidth="1"/>
    <col min="12038" max="12039" width="16.42578125" style="68" customWidth="1"/>
    <col min="12040" max="12040" width="11.7109375" style="68" customWidth="1"/>
    <col min="12041" max="12288" width="9.140625" style="68"/>
    <col min="12289" max="12289" width="53.140625" style="68" customWidth="1"/>
    <col min="12290" max="12290" width="22.5703125" style="68" customWidth="1"/>
    <col min="12291" max="12291" width="13.5703125" style="68" customWidth="1"/>
    <col min="12292" max="12292" width="14.85546875" style="68" customWidth="1"/>
    <col min="12293" max="12293" width="15" style="68" customWidth="1"/>
    <col min="12294" max="12295" width="16.42578125" style="68" customWidth="1"/>
    <col min="12296" max="12296" width="11.7109375" style="68" customWidth="1"/>
    <col min="12297" max="12544" width="9.140625" style="68"/>
    <col min="12545" max="12545" width="53.140625" style="68" customWidth="1"/>
    <col min="12546" max="12546" width="22.5703125" style="68" customWidth="1"/>
    <col min="12547" max="12547" width="13.5703125" style="68" customWidth="1"/>
    <col min="12548" max="12548" width="14.85546875" style="68" customWidth="1"/>
    <col min="12549" max="12549" width="15" style="68" customWidth="1"/>
    <col min="12550" max="12551" width="16.42578125" style="68" customWidth="1"/>
    <col min="12552" max="12552" width="11.7109375" style="68" customWidth="1"/>
    <col min="12553" max="12800" width="9.140625" style="68"/>
    <col min="12801" max="12801" width="53.140625" style="68" customWidth="1"/>
    <col min="12802" max="12802" width="22.5703125" style="68" customWidth="1"/>
    <col min="12803" max="12803" width="13.5703125" style="68" customWidth="1"/>
    <col min="12804" max="12804" width="14.85546875" style="68" customWidth="1"/>
    <col min="12805" max="12805" width="15" style="68" customWidth="1"/>
    <col min="12806" max="12807" width="16.42578125" style="68" customWidth="1"/>
    <col min="12808" max="12808" width="11.7109375" style="68" customWidth="1"/>
    <col min="12809" max="13056" width="9.140625" style="68"/>
    <col min="13057" max="13057" width="53.140625" style="68" customWidth="1"/>
    <col min="13058" max="13058" width="22.5703125" style="68" customWidth="1"/>
    <col min="13059" max="13059" width="13.5703125" style="68" customWidth="1"/>
    <col min="13060" max="13060" width="14.85546875" style="68" customWidth="1"/>
    <col min="13061" max="13061" width="15" style="68" customWidth="1"/>
    <col min="13062" max="13063" width="16.42578125" style="68" customWidth="1"/>
    <col min="13064" max="13064" width="11.7109375" style="68" customWidth="1"/>
    <col min="13065" max="13312" width="9.140625" style="68"/>
    <col min="13313" max="13313" width="53.140625" style="68" customWidth="1"/>
    <col min="13314" max="13314" width="22.5703125" style="68" customWidth="1"/>
    <col min="13315" max="13315" width="13.5703125" style="68" customWidth="1"/>
    <col min="13316" max="13316" width="14.85546875" style="68" customWidth="1"/>
    <col min="13317" max="13317" width="15" style="68" customWidth="1"/>
    <col min="13318" max="13319" width="16.42578125" style="68" customWidth="1"/>
    <col min="13320" max="13320" width="11.7109375" style="68" customWidth="1"/>
    <col min="13321" max="13568" width="9.140625" style="68"/>
    <col min="13569" max="13569" width="53.140625" style="68" customWidth="1"/>
    <col min="13570" max="13570" width="22.5703125" style="68" customWidth="1"/>
    <col min="13571" max="13571" width="13.5703125" style="68" customWidth="1"/>
    <col min="13572" max="13572" width="14.85546875" style="68" customWidth="1"/>
    <col min="13573" max="13573" width="15" style="68" customWidth="1"/>
    <col min="13574" max="13575" width="16.42578125" style="68" customWidth="1"/>
    <col min="13576" max="13576" width="11.7109375" style="68" customWidth="1"/>
    <col min="13577" max="13824" width="9.140625" style="68"/>
    <col min="13825" max="13825" width="53.140625" style="68" customWidth="1"/>
    <col min="13826" max="13826" width="22.5703125" style="68" customWidth="1"/>
    <col min="13827" max="13827" width="13.5703125" style="68" customWidth="1"/>
    <col min="13828" max="13828" width="14.85546875" style="68" customWidth="1"/>
    <col min="13829" max="13829" width="15" style="68" customWidth="1"/>
    <col min="13830" max="13831" width="16.42578125" style="68" customWidth="1"/>
    <col min="13832" max="13832" width="11.7109375" style="68" customWidth="1"/>
    <col min="13833" max="14080" width="9.140625" style="68"/>
    <col min="14081" max="14081" width="53.140625" style="68" customWidth="1"/>
    <col min="14082" max="14082" width="22.5703125" style="68" customWidth="1"/>
    <col min="14083" max="14083" width="13.5703125" style="68" customWidth="1"/>
    <col min="14084" max="14084" width="14.85546875" style="68" customWidth="1"/>
    <col min="14085" max="14085" width="15" style="68" customWidth="1"/>
    <col min="14086" max="14087" width="16.42578125" style="68" customWidth="1"/>
    <col min="14088" max="14088" width="11.7109375" style="68" customWidth="1"/>
    <col min="14089" max="14336" width="9.140625" style="68"/>
    <col min="14337" max="14337" width="53.140625" style="68" customWidth="1"/>
    <col min="14338" max="14338" width="22.5703125" style="68" customWidth="1"/>
    <col min="14339" max="14339" width="13.5703125" style="68" customWidth="1"/>
    <col min="14340" max="14340" width="14.85546875" style="68" customWidth="1"/>
    <col min="14341" max="14341" width="15" style="68" customWidth="1"/>
    <col min="14342" max="14343" width="16.42578125" style="68" customWidth="1"/>
    <col min="14344" max="14344" width="11.7109375" style="68" customWidth="1"/>
    <col min="14345" max="14592" width="9.140625" style="68"/>
    <col min="14593" max="14593" width="53.140625" style="68" customWidth="1"/>
    <col min="14594" max="14594" width="22.5703125" style="68" customWidth="1"/>
    <col min="14595" max="14595" width="13.5703125" style="68" customWidth="1"/>
    <col min="14596" max="14596" width="14.85546875" style="68" customWidth="1"/>
    <col min="14597" max="14597" width="15" style="68" customWidth="1"/>
    <col min="14598" max="14599" width="16.42578125" style="68" customWidth="1"/>
    <col min="14600" max="14600" width="11.7109375" style="68" customWidth="1"/>
    <col min="14601" max="14848" width="9.140625" style="68"/>
    <col min="14849" max="14849" width="53.140625" style="68" customWidth="1"/>
    <col min="14850" max="14850" width="22.5703125" style="68" customWidth="1"/>
    <col min="14851" max="14851" width="13.5703125" style="68" customWidth="1"/>
    <col min="14852" max="14852" width="14.85546875" style="68" customWidth="1"/>
    <col min="14853" max="14853" width="15" style="68" customWidth="1"/>
    <col min="14854" max="14855" width="16.42578125" style="68" customWidth="1"/>
    <col min="14856" max="14856" width="11.7109375" style="68" customWidth="1"/>
    <col min="14857" max="15104" width="9.140625" style="68"/>
    <col min="15105" max="15105" width="53.140625" style="68" customWidth="1"/>
    <col min="15106" max="15106" width="22.5703125" style="68" customWidth="1"/>
    <col min="15107" max="15107" width="13.5703125" style="68" customWidth="1"/>
    <col min="15108" max="15108" width="14.85546875" style="68" customWidth="1"/>
    <col min="15109" max="15109" width="15" style="68" customWidth="1"/>
    <col min="15110" max="15111" width="16.42578125" style="68" customWidth="1"/>
    <col min="15112" max="15112" width="11.7109375" style="68" customWidth="1"/>
    <col min="15113" max="15360" width="9.140625" style="68"/>
    <col min="15361" max="15361" width="53.140625" style="68" customWidth="1"/>
    <col min="15362" max="15362" width="22.5703125" style="68" customWidth="1"/>
    <col min="15363" max="15363" width="13.5703125" style="68" customWidth="1"/>
    <col min="15364" max="15364" width="14.85546875" style="68" customWidth="1"/>
    <col min="15365" max="15365" width="15" style="68" customWidth="1"/>
    <col min="15366" max="15367" width="16.42578125" style="68" customWidth="1"/>
    <col min="15368" max="15368" width="11.7109375" style="68" customWidth="1"/>
    <col min="15369" max="15616" width="9.140625" style="68"/>
    <col min="15617" max="15617" width="53.140625" style="68" customWidth="1"/>
    <col min="15618" max="15618" width="22.5703125" style="68" customWidth="1"/>
    <col min="15619" max="15619" width="13.5703125" style="68" customWidth="1"/>
    <col min="15620" max="15620" width="14.85546875" style="68" customWidth="1"/>
    <col min="15621" max="15621" width="15" style="68" customWidth="1"/>
    <col min="15622" max="15623" width="16.42578125" style="68" customWidth="1"/>
    <col min="15624" max="15624" width="11.7109375" style="68" customWidth="1"/>
    <col min="15625" max="15872" width="9.140625" style="68"/>
    <col min="15873" max="15873" width="53.140625" style="68" customWidth="1"/>
    <col min="15874" max="15874" width="22.5703125" style="68" customWidth="1"/>
    <col min="15875" max="15875" width="13.5703125" style="68" customWidth="1"/>
    <col min="15876" max="15876" width="14.85546875" style="68" customWidth="1"/>
    <col min="15877" max="15877" width="15" style="68" customWidth="1"/>
    <col min="15878" max="15879" width="16.42578125" style="68" customWidth="1"/>
    <col min="15880" max="15880" width="11.7109375" style="68" customWidth="1"/>
    <col min="15881" max="16128" width="9.140625" style="68"/>
    <col min="16129" max="16129" width="53.140625" style="68" customWidth="1"/>
    <col min="16130" max="16130" width="22.5703125" style="68" customWidth="1"/>
    <col min="16131" max="16131" width="13.5703125" style="68" customWidth="1"/>
    <col min="16132" max="16132" width="14.85546875" style="68" customWidth="1"/>
    <col min="16133" max="16133" width="15" style="68" customWidth="1"/>
    <col min="16134" max="16135" width="16.42578125" style="68" customWidth="1"/>
    <col min="16136" max="16136" width="11.7109375" style="68" customWidth="1"/>
    <col min="16137" max="16384" width="9.140625" style="68"/>
  </cols>
  <sheetData>
    <row r="1" spans="1:8" s="17" customFormat="1" ht="18" x14ac:dyDescent="0.35">
      <c r="A1" s="455" t="s">
        <v>23</v>
      </c>
      <c r="B1" s="456"/>
      <c r="C1" s="456"/>
      <c r="D1" s="456"/>
      <c r="E1" s="456"/>
      <c r="F1" s="456"/>
      <c r="G1" s="456"/>
      <c r="H1" s="456"/>
    </row>
    <row r="2" spans="1:8" s="17" customFormat="1" ht="18" x14ac:dyDescent="0.35">
      <c r="A2" s="455" t="s">
        <v>3</v>
      </c>
      <c r="B2" s="456"/>
      <c r="C2" s="456"/>
      <c r="D2" s="456"/>
      <c r="E2" s="456"/>
      <c r="F2" s="456"/>
      <c r="G2" s="456"/>
      <c r="H2" s="456"/>
    </row>
    <row r="3" spans="1:8" s="17" customFormat="1" ht="18" x14ac:dyDescent="0.35">
      <c r="A3" s="455" t="s">
        <v>22</v>
      </c>
      <c r="B3" s="456"/>
      <c r="C3" s="456"/>
      <c r="D3" s="456"/>
      <c r="E3" s="456"/>
      <c r="F3" s="456"/>
      <c r="G3" s="456"/>
      <c r="H3" s="456"/>
    </row>
    <row r="4" spans="1:8" s="17" customFormat="1" ht="18" x14ac:dyDescent="0.35">
      <c r="A4" s="455" t="s">
        <v>24</v>
      </c>
      <c r="B4" s="456"/>
      <c r="C4" s="456"/>
      <c r="D4" s="456"/>
      <c r="E4" s="456"/>
      <c r="F4" s="456"/>
      <c r="G4" s="456"/>
      <c r="H4" s="456"/>
    </row>
    <row r="5" spans="1:8" s="20" customFormat="1" ht="18.75" x14ac:dyDescent="0.3">
      <c r="A5" s="18"/>
      <c r="B5" s="19"/>
      <c r="C5" s="19"/>
      <c r="D5" s="19"/>
      <c r="E5" s="19"/>
      <c r="F5" s="19"/>
      <c r="G5" s="19"/>
      <c r="H5" s="19"/>
    </row>
    <row r="6" spans="1:8" s="24" customFormat="1" ht="45" x14ac:dyDescent="0.3">
      <c r="A6" s="21" t="s">
        <v>25</v>
      </c>
      <c r="B6" s="22" t="s">
        <v>6</v>
      </c>
      <c r="C6" s="11" t="s">
        <v>7</v>
      </c>
      <c r="D6" s="22" t="s">
        <v>26</v>
      </c>
      <c r="E6" s="22" t="s">
        <v>27</v>
      </c>
      <c r="F6" s="22" t="s">
        <v>28</v>
      </c>
      <c r="G6" s="22" t="s">
        <v>29</v>
      </c>
      <c r="H6" s="23" t="s">
        <v>30</v>
      </c>
    </row>
    <row r="7" spans="1:8" s="29" customFormat="1" ht="15" x14ac:dyDescent="0.3">
      <c r="A7" s="25" t="s">
        <v>8</v>
      </c>
      <c r="B7" s="302">
        <v>1675168757</v>
      </c>
      <c r="C7" s="26">
        <f>B7/$B$25</f>
        <v>0.15058897934033996</v>
      </c>
      <c r="D7" s="303">
        <v>189985</v>
      </c>
      <c r="E7" s="26">
        <f>D7/$D$25</f>
        <v>6.5660506994432932E-2</v>
      </c>
      <c r="F7" s="27">
        <f>B7/D7</f>
        <v>8817.3737768771225</v>
      </c>
      <c r="G7" s="28">
        <v>9500.6513050867234</v>
      </c>
      <c r="H7" s="26">
        <f>(F7-G7)/G7</f>
        <v>-7.1919019682763083E-2</v>
      </c>
    </row>
    <row r="8" spans="1:8" s="29" customFormat="1" ht="15" x14ac:dyDescent="0.3">
      <c r="A8" s="30" t="s">
        <v>31</v>
      </c>
      <c r="B8" s="302">
        <v>3004665.2199999997</v>
      </c>
      <c r="C8" s="26">
        <f>B8/$B$25</f>
        <v>2.7010381303286092E-4</v>
      </c>
      <c r="D8" s="303">
        <v>17132</v>
      </c>
      <c r="E8" s="26">
        <f>D8/$D$25</f>
        <v>5.9209716863364214E-3</v>
      </c>
      <c r="F8" s="27">
        <f>B8/D8</f>
        <v>175.38321386878354</v>
      </c>
      <c r="G8" s="27">
        <v>675.08477133597614</v>
      </c>
      <c r="H8" s="26">
        <f>(F8-G8)/G8</f>
        <v>-0.74020564332727512</v>
      </c>
    </row>
    <row r="9" spans="1:8" s="29" customFormat="1" ht="15" x14ac:dyDescent="0.3">
      <c r="A9" s="31" t="s">
        <v>32</v>
      </c>
      <c r="B9" s="32">
        <f>B7+B8</f>
        <v>1678173422.22</v>
      </c>
      <c r="C9" s="33">
        <f>B9/$B$25</f>
        <v>0.15085908315337282</v>
      </c>
      <c r="D9" s="34">
        <f>D7+D8</f>
        <v>207117</v>
      </c>
      <c r="E9" s="33">
        <f>D9/$D$25</f>
        <v>7.1581478680769348E-2</v>
      </c>
      <c r="F9" s="35">
        <f>B9/D9</f>
        <v>8102.5382861860689</v>
      </c>
      <c r="G9" s="36">
        <v>8852.9576527887239</v>
      </c>
      <c r="H9" s="33">
        <f>(F9-G9)/G9</f>
        <v>-8.4764820530488949E-2</v>
      </c>
    </row>
    <row r="10" spans="1:8" s="29" customFormat="1" ht="9" customHeight="1" x14ac:dyDescent="0.3">
      <c r="A10" s="31"/>
      <c r="B10" s="32"/>
      <c r="C10" s="33"/>
      <c r="D10" s="34"/>
      <c r="E10" s="33"/>
      <c r="F10" s="35"/>
      <c r="G10" s="36"/>
      <c r="H10" s="33"/>
    </row>
    <row r="11" spans="1:8" s="29" customFormat="1" ht="15" x14ac:dyDescent="0.3">
      <c r="A11" s="30" t="s">
        <v>12</v>
      </c>
      <c r="B11" s="304">
        <v>5109002973.9899988</v>
      </c>
      <c r="C11" s="26">
        <f>B11/$B$25</f>
        <v>0.45927285838218113</v>
      </c>
      <c r="D11" s="303">
        <v>402092</v>
      </c>
      <c r="E11" s="26">
        <f>D11/$D$25</f>
        <v>0.13896657408956248</v>
      </c>
      <c r="F11" s="27">
        <f>B11/D11</f>
        <v>12706.054768535556</v>
      </c>
      <c r="G11" s="28">
        <v>12907.468760641155</v>
      </c>
      <c r="H11" s="26">
        <f>(F11-G11)/G11</f>
        <v>-1.5604453192230272E-2</v>
      </c>
    </row>
    <row r="12" spans="1:8" s="29" customFormat="1" ht="15" x14ac:dyDescent="0.3">
      <c r="A12" s="30" t="s">
        <v>11</v>
      </c>
      <c r="B12" s="27">
        <v>25666572.079999998</v>
      </c>
      <c r="C12" s="26">
        <f>B12/$B$25</f>
        <v>2.3072916543729846E-3</v>
      </c>
      <c r="D12" s="303">
        <v>2598</v>
      </c>
      <c r="E12" s="26">
        <f>D12/$D$25</f>
        <v>8.9789192394945259E-4</v>
      </c>
      <c r="F12" s="27">
        <f>B12/D12</f>
        <v>9879.357998460353</v>
      </c>
      <c r="G12" s="27">
        <v>10141.347968388582</v>
      </c>
      <c r="H12" s="26">
        <f>(F12-G12)/G12</f>
        <v>-2.5833840900132115E-2</v>
      </c>
    </row>
    <row r="13" spans="1:8" s="29" customFormat="1" ht="15" x14ac:dyDescent="0.3">
      <c r="A13" s="31" t="s">
        <v>33</v>
      </c>
      <c r="B13" s="32">
        <f>B11+B12</f>
        <v>5134669546.0699987</v>
      </c>
      <c r="C13" s="33">
        <f>B13/$B$25</f>
        <v>0.46158015003655412</v>
      </c>
      <c r="D13" s="34">
        <f>D11+D12</f>
        <v>404690</v>
      </c>
      <c r="E13" s="33">
        <f>D13/$D$25</f>
        <v>0.13986446601351193</v>
      </c>
      <c r="F13" s="35">
        <f>B13/D13</f>
        <v>12687.908142207612</v>
      </c>
      <c r="G13" s="35">
        <v>12889.297465876274</v>
      </c>
      <c r="H13" s="33">
        <f>(F13-G13)/G13</f>
        <v>-1.5624538436003142E-2</v>
      </c>
    </row>
    <row r="14" spans="1:8" s="29" customFormat="1" ht="8.25" customHeight="1" x14ac:dyDescent="0.3">
      <c r="A14" s="37"/>
      <c r="B14" s="27"/>
      <c r="C14" s="33"/>
      <c r="D14" s="38"/>
      <c r="E14" s="26"/>
      <c r="F14" s="27"/>
      <c r="G14" s="35"/>
      <c r="H14" s="33"/>
    </row>
    <row r="15" spans="1:8" s="29" customFormat="1" ht="15" x14ac:dyDescent="0.3">
      <c r="A15" s="30" t="s">
        <v>34</v>
      </c>
      <c r="B15" s="302">
        <v>1208179095.4199998</v>
      </c>
      <c r="C15" s="26">
        <f>B15/$B$25</f>
        <v>0.10860903182402953</v>
      </c>
      <c r="D15" s="303">
        <v>355217</v>
      </c>
      <c r="E15" s="26">
        <f t="shared" ref="E15:E20" si="0">D15/$D$25</f>
        <v>0.12276615687049758</v>
      </c>
      <c r="F15" s="27">
        <f t="shared" ref="F15:F20" si="1">B15/D15</f>
        <v>3401.2423262963198</v>
      </c>
      <c r="G15" s="27">
        <v>2537.8983111586153</v>
      </c>
      <c r="H15" s="26">
        <f t="shared" ref="H15:H21" si="2">(F15-G15)/G15</f>
        <v>0.34018069650062766</v>
      </c>
    </row>
    <row r="16" spans="1:8" s="29" customFormat="1" ht="15" x14ac:dyDescent="0.3">
      <c r="A16" s="30" t="s">
        <v>35</v>
      </c>
      <c r="B16" s="27">
        <v>160159719.94999999</v>
      </c>
      <c r="C16" s="26">
        <f t="shared" ref="C16:C20" si="3">B16/$B$25</f>
        <v>1.4397527806032968E-2</v>
      </c>
      <c r="D16" s="303">
        <v>79132</v>
      </c>
      <c r="E16" s="26">
        <f t="shared" si="0"/>
        <v>2.7348723528086254E-2</v>
      </c>
      <c r="F16" s="27">
        <f t="shared" si="1"/>
        <v>2023.9564266036496</v>
      </c>
      <c r="G16" s="27">
        <v>1834.2154887446768</v>
      </c>
      <c r="H16" s="26">
        <f t="shared" si="2"/>
        <v>0.1034452816603517</v>
      </c>
    </row>
    <row r="17" spans="1:17" s="29" customFormat="1" ht="15" x14ac:dyDescent="0.3">
      <c r="A17" s="30" t="s">
        <v>36</v>
      </c>
      <c r="B17" s="27">
        <v>1491142000.8499999</v>
      </c>
      <c r="C17" s="26">
        <f t="shared" si="3"/>
        <v>0.13404592881833088</v>
      </c>
      <c r="D17" s="303">
        <v>827097</v>
      </c>
      <c r="E17" s="26">
        <f t="shared" si="0"/>
        <v>0.28585208492025421</v>
      </c>
      <c r="F17" s="27">
        <f t="shared" si="1"/>
        <v>1802.8623013382951</v>
      </c>
      <c r="G17" s="27">
        <v>1764.842524756458</v>
      </c>
      <c r="H17" s="26">
        <f t="shared" si="2"/>
        <v>2.154287198348399E-2</v>
      </c>
    </row>
    <row r="18" spans="1:17" s="29" customFormat="1" ht="15" x14ac:dyDescent="0.3">
      <c r="A18" s="30" t="s">
        <v>37</v>
      </c>
      <c r="B18" s="302">
        <v>1064773951.6900001</v>
      </c>
      <c r="C18" s="26">
        <f t="shared" si="3"/>
        <v>9.5717653486046703E-2</v>
      </c>
      <c r="D18" s="303">
        <v>722925</v>
      </c>
      <c r="E18" s="26">
        <f t="shared" si="0"/>
        <v>0.24984931451930639</v>
      </c>
      <c r="F18" s="27">
        <f t="shared" si="1"/>
        <v>1472.8691796382752</v>
      </c>
      <c r="G18" s="27">
        <v>1363.7900169553861</v>
      </c>
      <c r="H18" s="26">
        <f t="shared" si="2"/>
        <v>7.9982373625526709E-2</v>
      </c>
    </row>
    <row r="19" spans="1:17" s="29" customFormat="1" ht="15" x14ac:dyDescent="0.3">
      <c r="A19" s="30" t="s">
        <v>38</v>
      </c>
      <c r="B19" s="302">
        <v>14603649.289999999</v>
      </c>
      <c r="C19" s="26">
        <f t="shared" si="3"/>
        <v>1.3127922975138082E-3</v>
      </c>
      <c r="D19" s="305">
        <v>867</v>
      </c>
      <c r="E19" s="26">
        <f t="shared" si="0"/>
        <v>2.9964291688382426E-4</v>
      </c>
      <c r="F19" s="27">
        <f t="shared" si="1"/>
        <v>16843.886147635523</v>
      </c>
      <c r="G19" s="27">
        <v>16336.740569768224</v>
      </c>
      <c r="H19" s="26">
        <f t="shared" si="2"/>
        <v>3.1043253438558707E-2</v>
      </c>
    </row>
    <row r="20" spans="1:17" s="29" customFormat="1" ht="15" x14ac:dyDescent="0.3">
      <c r="A20" s="30" t="s">
        <v>39</v>
      </c>
      <c r="B20" s="27">
        <v>277942233.06999999</v>
      </c>
      <c r="C20" s="26">
        <f t="shared" si="3"/>
        <v>2.4985564599797623E-2</v>
      </c>
      <c r="D20" s="303">
        <v>257329</v>
      </c>
      <c r="E20" s="26">
        <f t="shared" si="0"/>
        <v>8.8935192801381333E-2</v>
      </c>
      <c r="F20" s="27">
        <f t="shared" si="1"/>
        <v>1080.1045862300789</v>
      </c>
      <c r="G20" s="27">
        <v>1021.4619484979024</v>
      </c>
      <c r="H20" s="26">
        <f t="shared" si="2"/>
        <v>5.7410496610679068E-2</v>
      </c>
    </row>
    <row r="21" spans="1:17" s="29" customFormat="1" ht="15" x14ac:dyDescent="0.3">
      <c r="A21" s="31" t="s">
        <v>40</v>
      </c>
      <c r="B21" s="32">
        <f>B15+B16+B17+B18+B19+B20</f>
        <v>4216800650.27</v>
      </c>
      <c r="C21" s="33">
        <f>B21/$B$25</f>
        <v>0.37906849883175153</v>
      </c>
      <c r="D21" s="34">
        <f>D15+D16+D17+D18+D19+D20</f>
        <v>2242567</v>
      </c>
      <c r="E21" s="33">
        <f>D21/$D$25</f>
        <v>0.7750511155564096</v>
      </c>
      <c r="F21" s="35">
        <f>B21/D21</f>
        <v>1880.3454479933041</v>
      </c>
      <c r="G21" s="35">
        <v>1665.90229436154</v>
      </c>
      <c r="H21" s="26">
        <f t="shared" si="2"/>
        <v>0.12872492844122638</v>
      </c>
    </row>
    <row r="22" spans="1:17" s="29" customFormat="1" ht="7.5" customHeight="1" x14ac:dyDescent="0.3">
      <c r="A22" s="31"/>
      <c r="B22" s="32"/>
      <c r="C22" s="33"/>
      <c r="D22" s="38"/>
      <c r="E22" s="26"/>
      <c r="F22" s="27"/>
      <c r="G22" s="35"/>
      <c r="H22" s="33"/>
    </row>
    <row r="23" spans="1:17" s="39" customFormat="1" ht="15" x14ac:dyDescent="0.3">
      <c r="A23" s="31" t="s">
        <v>41</v>
      </c>
      <c r="B23" s="35">
        <v>94468944.909999996</v>
      </c>
      <c r="C23" s="33">
        <f>B23/$B$25</f>
        <v>8.4922679783214841E-3</v>
      </c>
      <c r="D23" s="81">
        <v>39070</v>
      </c>
      <c r="E23" s="33">
        <f>D23/$D$25</f>
        <v>1.3502939749309127E-2</v>
      </c>
      <c r="F23" s="35">
        <f>B23/D23</f>
        <v>2417.9407450729459</v>
      </c>
      <c r="G23" s="35">
        <v>2168.8703697789392</v>
      </c>
      <c r="H23" s="33">
        <f>(F23-G23)/G23</f>
        <v>0.11483875604764383</v>
      </c>
    </row>
    <row r="24" spans="1:17" s="29" customFormat="1" ht="7.5" customHeight="1" x14ac:dyDescent="0.3">
      <c r="A24" s="31"/>
      <c r="B24" s="32"/>
      <c r="C24" s="33"/>
      <c r="D24" s="40"/>
      <c r="E24" s="33"/>
      <c r="F24" s="35"/>
      <c r="G24" s="35"/>
      <c r="H24" s="33"/>
    </row>
    <row r="25" spans="1:17" s="29" customFormat="1" ht="15" x14ac:dyDescent="0.3">
      <c r="A25" s="31" t="s">
        <v>42</v>
      </c>
      <c r="B25" s="35">
        <f>SUM(B9,B13,B21,B23)</f>
        <v>11124112563.469999</v>
      </c>
      <c r="C25" s="33">
        <f>SUM(C9,C13,C21,C23)</f>
        <v>0.99999999999999989</v>
      </c>
      <c r="D25" s="41">
        <f>SUM(D9,D13,D21,D23)</f>
        <v>2893444</v>
      </c>
      <c r="E25" s="33">
        <f>SUM(E9,E13,E21,E23)</f>
        <v>1</v>
      </c>
      <c r="F25" s="42">
        <f>B25/D28</f>
        <v>4761.2905361405428</v>
      </c>
      <c r="G25" s="35">
        <v>4717.1035829965458</v>
      </c>
      <c r="H25" s="33">
        <f>(F25-G25)/G25</f>
        <v>9.3673908928510741E-3</v>
      </c>
    </row>
    <row r="26" spans="1:17" s="29" customFormat="1" ht="15" x14ac:dyDescent="0.3">
      <c r="A26" s="31"/>
      <c r="B26" s="44"/>
      <c r="C26" s="33"/>
      <c r="D26" s="40"/>
      <c r="E26" s="33"/>
      <c r="F26" s="45"/>
      <c r="G26" s="45"/>
      <c r="H26" s="33"/>
    </row>
    <row r="27" spans="1:17" s="39" customFormat="1" ht="15" x14ac:dyDescent="0.3">
      <c r="A27" s="31"/>
      <c r="B27" s="45"/>
      <c r="C27" s="33"/>
      <c r="D27" s="41"/>
      <c r="E27" s="33"/>
      <c r="F27" s="46"/>
      <c r="G27" s="47"/>
      <c r="H27" s="33"/>
    </row>
    <row r="28" spans="1:17" s="29" customFormat="1" ht="15" x14ac:dyDescent="0.3">
      <c r="A28" s="48" t="s">
        <v>43</v>
      </c>
      <c r="B28" s="44"/>
      <c r="C28" s="33"/>
      <c r="D28" s="41">
        <v>2336365</v>
      </c>
      <c r="E28" s="33"/>
      <c r="F28" s="50"/>
      <c r="G28" s="41"/>
      <c r="H28" s="43"/>
    </row>
    <row r="29" spans="1:17" s="29" customFormat="1" ht="15" x14ac:dyDescent="0.3">
      <c r="A29" s="48"/>
      <c r="B29" s="44"/>
      <c r="C29" s="33"/>
      <c r="D29" s="41"/>
      <c r="E29" s="33"/>
      <c r="F29" s="50"/>
      <c r="G29" s="41"/>
      <c r="H29" s="43"/>
    </row>
    <row r="30" spans="1:17" s="55" customFormat="1" ht="15.75" x14ac:dyDescent="0.3">
      <c r="A30" s="51" t="s">
        <v>44</v>
      </c>
      <c r="B30" s="52"/>
      <c r="C30" s="52"/>
      <c r="D30" s="52"/>
      <c r="E30" s="53"/>
      <c r="F30" s="52"/>
      <c r="G30" s="52"/>
      <c r="H30" s="54"/>
    </row>
    <row r="31" spans="1:17" s="55" customFormat="1" ht="15.75" x14ac:dyDescent="0.3">
      <c r="A31" s="51" t="s">
        <v>45</v>
      </c>
      <c r="B31" s="52"/>
      <c r="C31" s="52"/>
      <c r="D31" s="52"/>
      <c r="E31" s="53"/>
      <c r="F31" s="52"/>
      <c r="G31" s="52"/>
      <c r="H31" s="54"/>
    </row>
    <row r="32" spans="1:17" s="239" customFormat="1" ht="15.75" x14ac:dyDescent="0.25">
      <c r="A32" s="241" t="s">
        <v>46</v>
      </c>
      <c r="B32" s="242"/>
      <c r="C32" s="242"/>
      <c r="D32" s="242"/>
      <c r="E32" s="242"/>
      <c r="F32" s="242"/>
      <c r="G32" s="242"/>
      <c r="H32" s="242"/>
      <c r="I32" s="242"/>
      <c r="J32" s="242"/>
      <c r="K32" s="242"/>
      <c r="L32" s="242"/>
      <c r="M32" s="242"/>
      <c r="N32" s="238"/>
      <c r="O32" s="238"/>
      <c r="P32" s="238"/>
      <c r="Q32" s="238"/>
    </row>
    <row r="33" spans="1:8" s="55" customFormat="1" ht="15.75" x14ac:dyDescent="0.3">
      <c r="A33" s="56" t="s">
        <v>47</v>
      </c>
      <c r="B33" s="57"/>
      <c r="C33" s="58"/>
      <c r="D33" s="59"/>
      <c r="E33" s="60"/>
      <c r="F33" s="61"/>
      <c r="G33" s="61"/>
      <c r="H33" s="54"/>
    </row>
    <row r="34" spans="1:8" x14ac:dyDescent="0.3">
      <c r="A34" s="62"/>
      <c r="D34" s="64"/>
      <c r="E34" s="65"/>
      <c r="G34" s="66"/>
      <c r="H34" s="67"/>
    </row>
    <row r="35" spans="1:8" x14ac:dyDescent="0.3">
      <c r="B35" s="306"/>
      <c r="C35" s="307"/>
    </row>
    <row r="36" spans="1:8" x14ac:dyDescent="0.3">
      <c r="A36" s="62"/>
      <c r="B36" s="306"/>
      <c r="C36" s="307"/>
      <c r="D36" s="70"/>
      <c r="E36" s="70"/>
    </row>
  </sheetData>
  <mergeCells count="4">
    <mergeCell ref="A1:H1"/>
    <mergeCell ref="A2:H2"/>
    <mergeCell ref="A3:H3"/>
    <mergeCell ref="A4:H4"/>
  </mergeCells>
  <pageMargins left="0.7" right="0.7" top="0.75" bottom="0.75" header="0.3" footer="0.3"/>
  <ignoredErrors>
    <ignoredError sqref="C9:C2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pane ySplit="6" topLeftCell="A7" activePane="bottomLeft" state="frozen"/>
      <selection pane="bottomLeft" activeCell="A7" sqref="A7"/>
    </sheetView>
  </sheetViews>
  <sheetFormatPr defaultRowHeight="15" x14ac:dyDescent="0.25"/>
  <cols>
    <col min="1" max="1" width="45.42578125" style="16" bestFit="1" customWidth="1"/>
    <col min="2" max="2" width="17.140625" style="16" customWidth="1"/>
    <col min="3" max="3" width="16.28515625" style="16" customWidth="1"/>
    <col min="4" max="5" width="16.28515625" style="16" bestFit="1" customWidth="1"/>
    <col min="6" max="6" width="13.7109375" style="16" bestFit="1" customWidth="1"/>
    <col min="7" max="7" width="14.28515625" style="16" customWidth="1"/>
    <col min="8" max="8" width="17.28515625" style="16" customWidth="1"/>
    <col min="9" max="9" width="16.7109375" style="16" customWidth="1"/>
    <col min="10" max="10" width="20.7109375" style="16" customWidth="1"/>
    <col min="11" max="11" width="15.7109375" style="16" customWidth="1"/>
    <col min="12" max="12" width="18.28515625" style="16" bestFit="1" customWidth="1"/>
    <col min="13" max="13" width="19.28515625" style="16" bestFit="1" customWidth="1"/>
    <col min="14" max="15" width="23.28515625" style="16" bestFit="1" customWidth="1"/>
    <col min="16" max="16" width="21.7109375" style="16" bestFit="1" customWidth="1"/>
    <col min="17" max="17" width="18.42578125" style="16" customWidth="1"/>
    <col min="18" max="18" width="10" style="16" bestFit="1" customWidth="1"/>
    <col min="19" max="16384" width="9.140625" style="16"/>
  </cols>
  <sheetData>
    <row r="1" spans="1:18" s="8" customFormat="1" ht="18" x14ac:dyDescent="0.35">
      <c r="A1" s="459" t="s">
        <v>2</v>
      </c>
      <c r="B1" s="459"/>
      <c r="C1" s="459"/>
      <c r="D1" s="459"/>
      <c r="E1" s="459"/>
      <c r="F1" s="459"/>
      <c r="G1" s="459"/>
      <c r="H1" s="459"/>
      <c r="I1" s="459"/>
      <c r="J1" s="459"/>
      <c r="K1" s="459"/>
      <c r="L1" s="459"/>
      <c r="M1" s="459"/>
      <c r="N1" s="459"/>
      <c r="O1" s="459"/>
      <c r="P1" s="459"/>
      <c r="Q1" s="393"/>
    </row>
    <row r="2" spans="1:18" s="8" customFormat="1" ht="18" x14ac:dyDescent="0.35">
      <c r="A2" s="459" t="s">
        <v>3</v>
      </c>
      <c r="B2" s="459"/>
      <c r="C2" s="459"/>
      <c r="D2" s="459"/>
      <c r="E2" s="459"/>
      <c r="F2" s="459"/>
      <c r="G2" s="459"/>
      <c r="H2" s="459"/>
      <c r="I2" s="459"/>
      <c r="J2" s="459"/>
      <c r="K2" s="459"/>
      <c r="L2" s="459"/>
      <c r="M2" s="459"/>
      <c r="N2" s="459"/>
      <c r="O2" s="459"/>
      <c r="P2" s="459"/>
      <c r="Q2" s="393"/>
    </row>
    <row r="3" spans="1:18" s="8" customFormat="1" ht="18" x14ac:dyDescent="0.35">
      <c r="A3" s="459" t="s">
        <v>22</v>
      </c>
      <c r="B3" s="459"/>
      <c r="C3" s="459"/>
      <c r="D3" s="459"/>
      <c r="E3" s="459"/>
      <c r="F3" s="459"/>
      <c r="G3" s="459"/>
      <c r="H3" s="459"/>
      <c r="I3" s="459"/>
      <c r="J3" s="459"/>
      <c r="K3" s="459"/>
      <c r="L3" s="459"/>
      <c r="M3" s="459"/>
      <c r="N3" s="459"/>
      <c r="O3" s="459"/>
      <c r="P3" s="459"/>
      <c r="Q3" s="393"/>
    </row>
    <row r="4" spans="1:18" s="8" customFormat="1" ht="18" x14ac:dyDescent="0.35">
      <c r="A4" s="459" t="s">
        <v>4</v>
      </c>
      <c r="B4" s="459"/>
      <c r="C4" s="459"/>
      <c r="D4" s="459"/>
      <c r="E4" s="459"/>
      <c r="F4" s="459"/>
      <c r="G4" s="459"/>
      <c r="H4" s="459"/>
      <c r="I4" s="459"/>
      <c r="J4" s="459"/>
      <c r="K4" s="459"/>
      <c r="L4" s="459"/>
      <c r="M4" s="459"/>
      <c r="N4" s="459"/>
      <c r="O4" s="459"/>
      <c r="P4" s="459"/>
      <c r="Q4" s="393"/>
    </row>
    <row r="5" spans="1:18" s="312" customFormat="1" ht="16.5" x14ac:dyDescent="0.3">
      <c r="A5" s="308"/>
      <c r="B5" s="309"/>
      <c r="C5" s="310"/>
      <c r="D5" s="311"/>
      <c r="E5" s="311"/>
      <c r="F5" s="311"/>
      <c r="G5" s="311"/>
      <c r="H5" s="311"/>
      <c r="I5" s="311"/>
      <c r="J5" s="311"/>
      <c r="K5" s="311"/>
      <c r="L5" s="311"/>
      <c r="M5" s="311"/>
      <c r="N5" s="311"/>
      <c r="O5" s="311"/>
      <c r="P5" s="311"/>
    </row>
    <row r="6" spans="1:18" s="13" customFormat="1" ht="60" x14ac:dyDescent="0.3">
      <c r="A6" s="9" t="s">
        <v>5</v>
      </c>
      <c r="B6" s="10" t="s">
        <v>6</v>
      </c>
      <c r="C6" s="11" t="s">
        <v>7</v>
      </c>
      <c r="D6" s="12" t="s">
        <v>8</v>
      </c>
      <c r="E6" s="12" t="s">
        <v>9</v>
      </c>
      <c r="F6" s="12" t="s">
        <v>10</v>
      </c>
      <c r="G6" s="12" t="s">
        <v>11</v>
      </c>
      <c r="H6" s="12" t="s">
        <v>12</v>
      </c>
      <c r="I6" s="12" t="s">
        <v>13</v>
      </c>
      <c r="J6" s="12" t="s">
        <v>14</v>
      </c>
      <c r="K6" s="12" t="s">
        <v>15</v>
      </c>
      <c r="L6" s="12" t="s">
        <v>16</v>
      </c>
      <c r="M6" s="12" t="s">
        <v>17</v>
      </c>
      <c r="N6" s="12" t="s">
        <v>21</v>
      </c>
      <c r="O6" s="12" t="s">
        <v>18</v>
      </c>
      <c r="P6" s="12" t="s">
        <v>19</v>
      </c>
      <c r="Q6" s="12" t="s">
        <v>20</v>
      </c>
    </row>
    <row r="7" spans="1:18" s="267" customFormat="1" x14ac:dyDescent="0.3">
      <c r="A7" s="280" t="s">
        <v>201</v>
      </c>
      <c r="B7" s="281">
        <v>962737000.76999998</v>
      </c>
      <c r="C7" s="116">
        <f>B7/$B$36</f>
        <v>8.2031123719867441E-2</v>
      </c>
      <c r="D7" s="281">
        <v>7310769.9800000004</v>
      </c>
      <c r="E7" s="281">
        <v>73381.38</v>
      </c>
      <c r="F7" s="281">
        <v>8014.62</v>
      </c>
      <c r="G7" s="281">
        <v>1754032.1</v>
      </c>
      <c r="H7" s="281">
        <v>431642652.19</v>
      </c>
      <c r="I7" s="281">
        <v>195617287.41</v>
      </c>
      <c r="J7" s="281">
        <v>123323392.14</v>
      </c>
      <c r="K7" s="281">
        <v>9227796.1699999999</v>
      </c>
      <c r="L7" s="281">
        <v>747760.09</v>
      </c>
      <c r="M7" s="281">
        <v>46792.959999999999</v>
      </c>
      <c r="N7" s="281">
        <v>159898159.37</v>
      </c>
      <c r="O7" s="281"/>
      <c r="P7" s="281">
        <v>32459850.079999998</v>
      </c>
      <c r="Q7" s="281">
        <v>627112.28</v>
      </c>
      <c r="R7" s="268"/>
    </row>
    <row r="8" spans="1:18" s="267" customFormat="1" x14ac:dyDescent="0.3">
      <c r="A8" s="280" t="s">
        <v>202</v>
      </c>
      <c r="B8" s="281">
        <v>952291203.29999995</v>
      </c>
      <c r="C8" s="116">
        <f t="shared" ref="C8:C36" si="0">B8/$B$36</f>
        <v>8.1141077420692362E-2</v>
      </c>
      <c r="D8" s="281">
        <v>15235434.859999999</v>
      </c>
      <c r="E8" s="281">
        <v>920325.19000000006</v>
      </c>
      <c r="F8" s="281">
        <v>712.68000000000006</v>
      </c>
      <c r="G8" s="281">
        <v>1793451.24</v>
      </c>
      <c r="H8" s="281">
        <v>338420714.93000001</v>
      </c>
      <c r="I8" s="281">
        <v>252286452.75</v>
      </c>
      <c r="J8" s="281">
        <v>148844753.97999999</v>
      </c>
      <c r="K8" s="281">
        <v>29032028.25</v>
      </c>
      <c r="L8" s="281">
        <v>7970796.0300000003</v>
      </c>
      <c r="M8" s="281">
        <v>117678.47</v>
      </c>
      <c r="N8" s="281">
        <v>106881196.3</v>
      </c>
      <c r="O8" s="281">
        <v>39148269.710000001</v>
      </c>
      <c r="P8" s="281">
        <v>11222087.890000001</v>
      </c>
      <c r="Q8" s="281">
        <v>417301.02</v>
      </c>
      <c r="R8" s="268"/>
    </row>
    <row r="9" spans="1:18" s="267" customFormat="1" x14ac:dyDescent="0.3">
      <c r="A9" s="280" t="s">
        <v>383</v>
      </c>
      <c r="B9" s="281">
        <v>17596</v>
      </c>
      <c r="C9" s="116">
        <f t="shared" si="0"/>
        <v>1.4992876058781746E-6</v>
      </c>
      <c r="D9" s="281">
        <v>17596</v>
      </c>
      <c r="E9" s="281">
        <v>0</v>
      </c>
      <c r="F9" s="281"/>
      <c r="G9" s="281"/>
      <c r="H9" s="281"/>
      <c r="I9" s="281">
        <v>0</v>
      </c>
      <c r="J9" s="281"/>
      <c r="K9" s="281"/>
      <c r="L9" s="281"/>
      <c r="M9" s="281"/>
      <c r="N9" s="281"/>
      <c r="O9" s="281"/>
      <c r="P9" s="281"/>
      <c r="Q9" s="281"/>
      <c r="R9" s="268"/>
    </row>
    <row r="10" spans="1:18" s="267" customFormat="1" x14ac:dyDescent="0.3">
      <c r="A10" s="280" t="s">
        <v>384</v>
      </c>
      <c r="B10" s="281">
        <v>117601.01000000001</v>
      </c>
      <c r="C10" s="116">
        <f t="shared" si="0"/>
        <v>1.0020330571252289E-5</v>
      </c>
      <c r="D10" s="281"/>
      <c r="E10" s="281"/>
      <c r="F10" s="281"/>
      <c r="G10" s="281"/>
      <c r="H10" s="281">
        <v>2520</v>
      </c>
      <c r="I10" s="281">
        <v>0</v>
      </c>
      <c r="J10" s="281"/>
      <c r="K10" s="281"/>
      <c r="L10" s="281"/>
      <c r="M10" s="281"/>
      <c r="N10" s="281"/>
      <c r="O10" s="281"/>
      <c r="P10" s="281">
        <v>115081.01000000001</v>
      </c>
      <c r="Q10" s="281"/>
      <c r="R10" s="268"/>
    </row>
    <row r="11" spans="1:18" s="267" customFormat="1" x14ac:dyDescent="0.3">
      <c r="A11" s="280" t="s">
        <v>204</v>
      </c>
      <c r="B11" s="281">
        <v>1205825959.5700002</v>
      </c>
      <c r="C11" s="116">
        <f t="shared" si="0"/>
        <v>0.10274380063818243</v>
      </c>
      <c r="D11" s="281">
        <v>28635988.780000001</v>
      </c>
      <c r="E11" s="281">
        <v>734498.38</v>
      </c>
      <c r="F11" s="281">
        <v>3015.89</v>
      </c>
      <c r="G11" s="281">
        <v>1467944.06</v>
      </c>
      <c r="H11" s="281">
        <v>331323232.14999998</v>
      </c>
      <c r="I11" s="281">
        <v>277812930.55000001</v>
      </c>
      <c r="J11" s="281">
        <v>247086626.28999999</v>
      </c>
      <c r="K11" s="281">
        <v>53871127.200000003</v>
      </c>
      <c r="L11" s="281">
        <v>2906233.16</v>
      </c>
      <c r="M11" s="281">
        <v>149189.16</v>
      </c>
      <c r="N11" s="281">
        <v>224135899.41</v>
      </c>
      <c r="O11" s="281">
        <v>19288327.149999999</v>
      </c>
      <c r="P11" s="281">
        <v>18017842.850000001</v>
      </c>
      <c r="Q11" s="281">
        <v>393104.54000000004</v>
      </c>
      <c r="R11" s="268"/>
    </row>
    <row r="12" spans="1:18" s="267" customFormat="1" x14ac:dyDescent="0.3">
      <c r="A12" s="280" t="s">
        <v>205</v>
      </c>
      <c r="B12" s="281">
        <v>126673972.90000001</v>
      </c>
      <c r="C12" s="116">
        <f t="shared" si="0"/>
        <v>1.0793402907269708E-2</v>
      </c>
      <c r="D12" s="281">
        <v>1903126.8599999999</v>
      </c>
      <c r="E12" s="281">
        <v>-120836.29000000001</v>
      </c>
      <c r="F12" s="281">
        <v>424.56</v>
      </c>
      <c r="G12" s="281">
        <v>179616.5</v>
      </c>
      <c r="H12" s="281">
        <v>37581146.920000002</v>
      </c>
      <c r="I12" s="281">
        <v>26286763.200000003</v>
      </c>
      <c r="J12" s="281">
        <v>25203585.219999999</v>
      </c>
      <c r="K12" s="281">
        <v>4831794.8499999996</v>
      </c>
      <c r="L12" s="281">
        <v>77588.150000000009</v>
      </c>
      <c r="M12" s="281">
        <v>40363.67</v>
      </c>
      <c r="N12" s="281">
        <v>21298722.210000001</v>
      </c>
      <c r="O12" s="281">
        <v>27026.48</v>
      </c>
      <c r="P12" s="281">
        <v>9329380.6500000004</v>
      </c>
      <c r="Q12" s="281">
        <v>35269.919999999998</v>
      </c>
      <c r="R12" s="268"/>
    </row>
    <row r="13" spans="1:18" s="267" customFormat="1" x14ac:dyDescent="0.3">
      <c r="A13" s="280" t="s">
        <v>206</v>
      </c>
      <c r="B13" s="281">
        <v>1218341841.1999998</v>
      </c>
      <c r="C13" s="116">
        <f t="shared" si="0"/>
        <v>0.10381023086121589</v>
      </c>
      <c r="D13" s="281">
        <v>958768616.48000002</v>
      </c>
      <c r="E13" s="281">
        <v>246253.30000000002</v>
      </c>
      <c r="F13" s="281">
        <v>132367.64000000001</v>
      </c>
      <c r="G13" s="281">
        <v>656122.67000000004</v>
      </c>
      <c r="H13" s="281">
        <v>255902603.94</v>
      </c>
      <c r="I13" s="281">
        <v>361496.05</v>
      </c>
      <c r="J13" s="281">
        <v>17007.260000000002</v>
      </c>
      <c r="K13" s="281"/>
      <c r="L13" s="281"/>
      <c r="M13" s="281">
        <v>0</v>
      </c>
      <c r="N13" s="281"/>
      <c r="O13" s="281"/>
      <c r="P13" s="281">
        <v>2257373.86</v>
      </c>
      <c r="Q13" s="281"/>
      <c r="R13" s="268"/>
    </row>
    <row r="14" spans="1:18" s="267" customFormat="1" x14ac:dyDescent="0.3">
      <c r="A14" s="280" t="s">
        <v>199</v>
      </c>
      <c r="B14" s="281">
        <v>1532976.32</v>
      </c>
      <c r="C14" s="116">
        <f t="shared" si="0"/>
        <v>1.3061902686296512E-4</v>
      </c>
      <c r="D14" s="281"/>
      <c r="E14" s="281"/>
      <c r="F14" s="281"/>
      <c r="G14" s="281"/>
      <c r="H14" s="281">
        <v>1285959.43</v>
      </c>
      <c r="I14" s="281">
        <v>0</v>
      </c>
      <c r="J14" s="281">
        <v>210290.06</v>
      </c>
      <c r="K14" s="281"/>
      <c r="L14" s="281"/>
      <c r="M14" s="281"/>
      <c r="N14" s="281">
        <v>36726.83</v>
      </c>
      <c r="O14" s="281"/>
      <c r="P14" s="281"/>
      <c r="Q14" s="281"/>
      <c r="R14" s="268"/>
    </row>
    <row r="15" spans="1:18" s="267" customFormat="1" x14ac:dyDescent="0.3">
      <c r="A15" s="280" t="s">
        <v>207</v>
      </c>
      <c r="B15" s="281">
        <v>364566643.94999999</v>
      </c>
      <c r="C15" s="116">
        <f t="shared" si="0"/>
        <v>3.106332409586476E-2</v>
      </c>
      <c r="D15" s="281">
        <v>13624661.380000001</v>
      </c>
      <c r="E15" s="281">
        <v>7311.56</v>
      </c>
      <c r="F15" s="281">
        <v>2135.91</v>
      </c>
      <c r="G15" s="281">
        <v>234370.80000000002</v>
      </c>
      <c r="H15" s="281">
        <v>58199251.530000001</v>
      </c>
      <c r="I15" s="281">
        <v>49244338.440000005</v>
      </c>
      <c r="J15" s="281">
        <v>110287271.87</v>
      </c>
      <c r="K15" s="281">
        <v>32287412.27</v>
      </c>
      <c r="L15" s="281">
        <v>110570.16</v>
      </c>
      <c r="M15" s="281"/>
      <c r="N15" s="281">
        <v>95709765.379999995</v>
      </c>
      <c r="O15" s="281"/>
      <c r="P15" s="281">
        <v>4771430.88</v>
      </c>
      <c r="Q15" s="281">
        <v>88123.77</v>
      </c>
      <c r="R15" s="268"/>
    </row>
    <row r="16" spans="1:18" s="267" customFormat="1" x14ac:dyDescent="0.3">
      <c r="A16" s="280" t="s">
        <v>208</v>
      </c>
      <c r="B16" s="281">
        <v>1844115339.8799999</v>
      </c>
      <c r="C16" s="116">
        <f t="shared" si="0"/>
        <v>0.15712998822981933</v>
      </c>
      <c r="D16" s="281">
        <v>9457913.3900000006</v>
      </c>
      <c r="E16" s="281">
        <v>72943.100000000006</v>
      </c>
      <c r="F16" s="281"/>
      <c r="G16" s="281">
        <v>4291813.46</v>
      </c>
      <c r="H16" s="281">
        <v>983453421.57000005</v>
      </c>
      <c r="I16" s="281">
        <v>312178853.38999999</v>
      </c>
      <c r="J16" s="281">
        <v>287973772.52999997</v>
      </c>
      <c r="K16" s="281">
        <v>59966253.049999997</v>
      </c>
      <c r="L16" s="281">
        <v>2055052.59</v>
      </c>
      <c r="M16" s="281">
        <v>310692.90000000002</v>
      </c>
      <c r="N16" s="281">
        <v>175749530.13999999</v>
      </c>
      <c r="O16" s="281"/>
      <c r="P16" s="281">
        <v>8156460.7699999996</v>
      </c>
      <c r="Q16" s="281">
        <v>448632.99</v>
      </c>
      <c r="R16" s="268"/>
    </row>
    <row r="17" spans="1:18" s="267" customFormat="1" x14ac:dyDescent="0.3">
      <c r="A17" s="280" t="s">
        <v>209</v>
      </c>
      <c r="B17" s="281">
        <v>377339133.90999991</v>
      </c>
      <c r="C17" s="116">
        <f t="shared" si="0"/>
        <v>3.2151618929533284E-2</v>
      </c>
      <c r="D17" s="281">
        <v>37900975.710000001</v>
      </c>
      <c r="E17" s="281">
        <v>168111.4</v>
      </c>
      <c r="F17" s="281">
        <v>8194.64</v>
      </c>
      <c r="G17" s="281">
        <v>1267011.1299999999</v>
      </c>
      <c r="H17" s="281">
        <v>270184296.43000001</v>
      </c>
      <c r="I17" s="281">
        <v>21133927.100000001</v>
      </c>
      <c r="J17" s="281">
        <v>22247362.649999999</v>
      </c>
      <c r="K17" s="281">
        <v>4697065.78</v>
      </c>
      <c r="L17" s="281">
        <v>276745.34000000003</v>
      </c>
      <c r="M17" s="281"/>
      <c r="N17" s="281">
        <v>18443686.02</v>
      </c>
      <c r="O17" s="281"/>
      <c r="P17" s="281">
        <v>978946.06</v>
      </c>
      <c r="Q17" s="281">
        <v>32811.65</v>
      </c>
      <c r="R17" s="268"/>
    </row>
    <row r="18" spans="1:18" s="267" customFormat="1" x14ac:dyDescent="0.3">
      <c r="A18" s="280" t="s">
        <v>210</v>
      </c>
      <c r="B18" s="281">
        <v>251674196.99999997</v>
      </c>
      <c r="C18" s="116">
        <f t="shared" si="0"/>
        <v>2.1444192105105821E-2</v>
      </c>
      <c r="D18" s="281">
        <v>136530733.78</v>
      </c>
      <c r="E18" s="281">
        <v>335.47</v>
      </c>
      <c r="F18" s="281">
        <v>18014.670000000002</v>
      </c>
      <c r="G18" s="281">
        <v>1374675.67</v>
      </c>
      <c r="H18" s="281">
        <v>113565822.41</v>
      </c>
      <c r="I18" s="281">
        <v>1206.8</v>
      </c>
      <c r="J18" s="281"/>
      <c r="K18" s="281"/>
      <c r="L18" s="281"/>
      <c r="M18" s="281"/>
      <c r="N18" s="281"/>
      <c r="O18" s="281"/>
      <c r="P18" s="281">
        <v>183408.2</v>
      </c>
      <c r="Q18" s="281"/>
      <c r="R18" s="268"/>
    </row>
    <row r="19" spans="1:18" s="267" customFormat="1" x14ac:dyDescent="0.3">
      <c r="A19" s="280" t="s">
        <v>385</v>
      </c>
      <c r="B19" s="281">
        <v>111363.42</v>
      </c>
      <c r="C19" s="116">
        <f t="shared" si="0"/>
        <v>9.4888494745513526E-6</v>
      </c>
      <c r="D19" s="281">
        <v>10578.68</v>
      </c>
      <c r="E19" s="281"/>
      <c r="F19" s="281"/>
      <c r="G19" s="281">
        <v>2307.5500000000002</v>
      </c>
      <c r="H19" s="281">
        <v>98477.19</v>
      </c>
      <c r="I19" s="281">
        <v>0</v>
      </c>
      <c r="J19" s="281"/>
      <c r="K19" s="281"/>
      <c r="L19" s="281"/>
      <c r="M19" s="281"/>
      <c r="N19" s="281"/>
      <c r="O19" s="281"/>
      <c r="P19" s="281"/>
      <c r="Q19" s="281"/>
      <c r="R19" s="268"/>
    </row>
    <row r="20" spans="1:18" s="267" customFormat="1" x14ac:dyDescent="0.3">
      <c r="A20" s="280" t="s">
        <v>212</v>
      </c>
      <c r="B20" s="281">
        <v>98073836.939999983</v>
      </c>
      <c r="C20" s="116">
        <f t="shared" si="0"/>
        <v>8.3564951230426822E-3</v>
      </c>
      <c r="D20" s="281"/>
      <c r="E20" s="281"/>
      <c r="F20" s="281">
        <v>28.28</v>
      </c>
      <c r="G20" s="281">
        <v>350859.19</v>
      </c>
      <c r="H20" s="281">
        <v>95475566.099999994</v>
      </c>
      <c r="I20" s="281">
        <v>0</v>
      </c>
      <c r="J20" s="281">
        <v>2011976.52</v>
      </c>
      <c r="K20" s="281"/>
      <c r="L20" s="281"/>
      <c r="M20" s="281"/>
      <c r="N20" s="281"/>
      <c r="O20" s="281"/>
      <c r="P20" s="281">
        <v>235406.85</v>
      </c>
      <c r="Q20" s="281"/>
      <c r="R20" s="268"/>
    </row>
    <row r="21" spans="1:18" s="267" customFormat="1" x14ac:dyDescent="0.3">
      <c r="A21" s="280" t="s">
        <v>213</v>
      </c>
      <c r="B21" s="281">
        <v>419295589.38</v>
      </c>
      <c r="C21" s="116">
        <f t="shared" si="0"/>
        <v>3.5726567421960578E-2</v>
      </c>
      <c r="D21" s="281">
        <v>222419564.59</v>
      </c>
      <c r="E21" s="281">
        <v>53317.18</v>
      </c>
      <c r="F21" s="281">
        <v>20862.330000000002</v>
      </c>
      <c r="G21" s="281">
        <v>1421088.79</v>
      </c>
      <c r="H21" s="281">
        <v>190870185.84999999</v>
      </c>
      <c r="I21" s="281">
        <v>3519039.59</v>
      </c>
      <c r="J21" s="281">
        <v>469261.61</v>
      </c>
      <c r="K21" s="281">
        <v>55110.54</v>
      </c>
      <c r="L21" s="281">
        <v>12613.45</v>
      </c>
      <c r="M21" s="281"/>
      <c r="N21" s="281">
        <v>114511.28</v>
      </c>
      <c r="O21" s="281"/>
      <c r="P21" s="281">
        <v>340034.17</v>
      </c>
      <c r="Q21" s="281"/>
      <c r="R21" s="268"/>
    </row>
    <row r="22" spans="1:18" s="267" customFormat="1" x14ac:dyDescent="0.3">
      <c r="A22" s="280" t="s">
        <v>214</v>
      </c>
      <c r="B22" s="281">
        <v>72208518.459999993</v>
      </c>
      <c r="C22" s="116">
        <f t="shared" si="0"/>
        <v>6.1526106368437914E-3</v>
      </c>
      <c r="D22" s="281">
        <v>48425418.520000003</v>
      </c>
      <c r="E22" s="281">
        <v>10103.83</v>
      </c>
      <c r="F22" s="281"/>
      <c r="G22" s="281">
        <v>79236.75</v>
      </c>
      <c r="H22" s="281">
        <v>22469178.449999999</v>
      </c>
      <c r="I22" s="281">
        <v>388951.81</v>
      </c>
      <c r="J22" s="281">
        <v>102640.59</v>
      </c>
      <c r="K22" s="281">
        <v>68333.69</v>
      </c>
      <c r="L22" s="281">
        <v>71340.31</v>
      </c>
      <c r="M22" s="281"/>
      <c r="N22" s="281">
        <v>234709.91</v>
      </c>
      <c r="O22" s="281"/>
      <c r="P22" s="281">
        <v>358604.60000000003</v>
      </c>
      <c r="Q22" s="281"/>
      <c r="R22" s="268"/>
    </row>
    <row r="23" spans="1:18" s="267" customFormat="1" x14ac:dyDescent="0.3">
      <c r="A23" s="280" t="s">
        <v>215</v>
      </c>
      <c r="B23" s="281">
        <v>93544162.370000005</v>
      </c>
      <c r="C23" s="116">
        <f t="shared" si="0"/>
        <v>7.970538943145972E-3</v>
      </c>
      <c r="D23" s="281">
        <v>55343.78</v>
      </c>
      <c r="E23" s="281">
        <v>-125.82000000000001</v>
      </c>
      <c r="F23" s="281"/>
      <c r="G23" s="281">
        <v>9237.1</v>
      </c>
      <c r="H23" s="281">
        <v>3033514.19</v>
      </c>
      <c r="I23" s="281">
        <v>727002.11</v>
      </c>
      <c r="J23" s="281">
        <v>35178489.850000001</v>
      </c>
      <c r="K23" s="281">
        <v>7726735.6699999999</v>
      </c>
      <c r="L23" s="281">
        <v>260.5</v>
      </c>
      <c r="M23" s="281">
        <v>956.73</v>
      </c>
      <c r="N23" s="281">
        <v>46399097.359999999</v>
      </c>
      <c r="O23" s="281"/>
      <c r="P23" s="281">
        <v>413240.9</v>
      </c>
      <c r="Q23" s="281">
        <v>410</v>
      </c>
      <c r="R23" s="268"/>
    </row>
    <row r="24" spans="1:18" s="267" customFormat="1" x14ac:dyDescent="0.3">
      <c r="A24" s="280" t="s">
        <v>216</v>
      </c>
      <c r="B24" s="281">
        <v>111671759.62</v>
      </c>
      <c r="C24" s="116">
        <f t="shared" si="0"/>
        <v>9.5151219098018186E-3</v>
      </c>
      <c r="D24" s="281">
        <v>333973.85000000003</v>
      </c>
      <c r="E24" s="281">
        <v>4389.83</v>
      </c>
      <c r="F24" s="281">
        <v>0</v>
      </c>
      <c r="G24" s="281">
        <v>109825.68000000001</v>
      </c>
      <c r="H24" s="281">
        <v>28033060.199999999</v>
      </c>
      <c r="I24" s="281">
        <v>59835906.850000001</v>
      </c>
      <c r="J24" s="281">
        <v>12768955.060000001</v>
      </c>
      <c r="K24" s="281">
        <v>2137370.39</v>
      </c>
      <c r="L24" s="281">
        <v>85747</v>
      </c>
      <c r="M24" s="281">
        <v>124517.36</v>
      </c>
      <c r="N24" s="281">
        <v>6731390.4800000004</v>
      </c>
      <c r="O24" s="281">
        <v>1114.5899999999999</v>
      </c>
      <c r="P24" s="281">
        <v>1390109.3</v>
      </c>
      <c r="Q24" s="281">
        <v>115399.03</v>
      </c>
      <c r="R24" s="268"/>
    </row>
    <row r="25" spans="1:18" s="267" customFormat="1" x14ac:dyDescent="0.3">
      <c r="A25" s="280" t="s">
        <v>386</v>
      </c>
      <c r="B25" s="281">
        <v>6041.09</v>
      </c>
      <c r="C25" s="116">
        <f t="shared" si="0"/>
        <v>5.1473808609880545E-7</v>
      </c>
      <c r="D25" s="281"/>
      <c r="E25" s="281"/>
      <c r="F25" s="281"/>
      <c r="G25" s="281"/>
      <c r="H25" s="281">
        <v>1504.14</v>
      </c>
      <c r="I25" s="281">
        <v>1850.73</v>
      </c>
      <c r="J25" s="281">
        <v>486.38</v>
      </c>
      <c r="K25" s="281">
        <v>-54.26</v>
      </c>
      <c r="L25" s="281"/>
      <c r="M25" s="281"/>
      <c r="N25" s="281">
        <v>419.73</v>
      </c>
      <c r="O25" s="281"/>
      <c r="P25" s="281">
        <v>1834.3700000000001</v>
      </c>
      <c r="Q25" s="281"/>
      <c r="R25" s="268"/>
    </row>
    <row r="26" spans="1:18" s="267" customFormat="1" x14ac:dyDescent="0.3">
      <c r="A26" s="280" t="s">
        <v>387</v>
      </c>
      <c r="B26" s="281">
        <v>128779987.22</v>
      </c>
      <c r="C26" s="116">
        <f t="shared" si="0"/>
        <v>1.0972848302119555E-2</v>
      </c>
      <c r="D26" s="281">
        <v>277829.28000000003</v>
      </c>
      <c r="E26" s="281">
        <v>12614.02</v>
      </c>
      <c r="F26" s="281"/>
      <c r="G26" s="281">
        <v>111202.18000000001</v>
      </c>
      <c r="H26" s="281">
        <v>34714881.539999999</v>
      </c>
      <c r="I26" s="281">
        <v>175049.78</v>
      </c>
      <c r="J26" s="281">
        <v>43444100.729999997</v>
      </c>
      <c r="K26" s="281">
        <v>12894589.34</v>
      </c>
      <c r="L26" s="281">
        <v>1081.25</v>
      </c>
      <c r="M26" s="281"/>
      <c r="N26" s="281">
        <v>36346764.93</v>
      </c>
      <c r="O26" s="281"/>
      <c r="P26" s="281">
        <v>801289.20000000007</v>
      </c>
      <c r="Q26" s="281">
        <v>584.97</v>
      </c>
      <c r="R26" s="268"/>
    </row>
    <row r="27" spans="1:18" s="267" customFormat="1" x14ac:dyDescent="0.3">
      <c r="A27" s="280" t="s">
        <v>388</v>
      </c>
      <c r="B27" s="285">
        <v>160235489.28999999</v>
      </c>
      <c r="C27" s="118">
        <f t="shared" si="0"/>
        <v>1.3653050870329732E-2</v>
      </c>
      <c r="D27" s="285">
        <v>13431498.92</v>
      </c>
      <c r="E27" s="285">
        <v>-38569.06</v>
      </c>
      <c r="F27" s="285">
        <v>245.63</v>
      </c>
      <c r="G27" s="285">
        <v>165964.79</v>
      </c>
      <c r="H27" s="285">
        <v>42610859.740000002</v>
      </c>
      <c r="I27" s="285">
        <v>34268270.980000004</v>
      </c>
      <c r="J27" s="285">
        <v>31265625.449999999</v>
      </c>
      <c r="K27" s="285">
        <v>6580282.1200000001</v>
      </c>
      <c r="L27" s="285">
        <v>37927.35</v>
      </c>
      <c r="M27" s="285">
        <v>10321116.699999999</v>
      </c>
      <c r="N27" s="285">
        <v>19257619.109999999</v>
      </c>
      <c r="O27" s="285"/>
      <c r="P27" s="285">
        <v>2265399.77</v>
      </c>
      <c r="Q27" s="285">
        <v>69247.790000000008</v>
      </c>
      <c r="R27" s="268"/>
    </row>
    <row r="28" spans="1:18" s="82" customFormat="1" x14ac:dyDescent="0.3">
      <c r="A28" s="108" t="s">
        <v>1</v>
      </c>
      <c r="B28" s="270">
        <f>SUM(B7:B27)</f>
        <v>8389160213.5999994</v>
      </c>
      <c r="C28" s="117">
        <f t="shared" si="0"/>
        <v>0.71480813434739587</v>
      </c>
      <c r="D28" s="270">
        <f>SUM(D7:D27)</f>
        <v>1494340024.8399999</v>
      </c>
      <c r="E28" s="270">
        <f t="shared" ref="E28:Q28" si="1">SUM(E7:E27)</f>
        <v>2144053.4700000011</v>
      </c>
      <c r="F28" s="270">
        <f t="shared" si="1"/>
        <v>194016.85000000003</v>
      </c>
      <c r="G28" s="270">
        <f t="shared" si="1"/>
        <v>15268759.659999998</v>
      </c>
      <c r="H28" s="270">
        <f t="shared" si="1"/>
        <v>3238868848.8999991</v>
      </c>
      <c r="I28" s="270">
        <v>1233839327.54</v>
      </c>
      <c r="J28" s="270">
        <f t="shared" si="1"/>
        <v>1090435598.1899998</v>
      </c>
      <c r="K28" s="270">
        <f t="shared" si="1"/>
        <v>223375845.05999997</v>
      </c>
      <c r="L28" s="270">
        <f t="shared" si="1"/>
        <v>14353715.380000001</v>
      </c>
      <c r="M28" s="270">
        <f t="shared" si="1"/>
        <v>11111307.949999999</v>
      </c>
      <c r="N28" s="270">
        <f t="shared" si="1"/>
        <v>911238198.45999992</v>
      </c>
      <c r="O28" s="270">
        <f t="shared" si="1"/>
        <v>58464737.93</v>
      </c>
      <c r="P28" s="270">
        <f t="shared" si="1"/>
        <v>93297781.409999996</v>
      </c>
      <c r="Q28" s="270">
        <f t="shared" si="1"/>
        <v>2227997.96</v>
      </c>
      <c r="R28" s="265"/>
    </row>
    <row r="29" spans="1:18" s="267" customFormat="1" x14ac:dyDescent="0.3">
      <c r="A29" s="108"/>
      <c r="B29" s="281"/>
      <c r="C29" s="117"/>
      <c r="D29" s="293"/>
      <c r="E29" s="293"/>
      <c r="F29" s="293"/>
      <c r="G29" s="293"/>
      <c r="H29" s="261"/>
      <c r="I29" s="293"/>
      <c r="J29" s="293"/>
      <c r="K29" s="293"/>
      <c r="L29" s="293"/>
      <c r="M29" s="293"/>
      <c r="N29" s="293"/>
      <c r="O29" s="293"/>
      <c r="P29" s="293"/>
      <c r="Q29" s="268"/>
      <c r="R29" s="268"/>
    </row>
    <row r="30" spans="1:18" s="111" customFormat="1" x14ac:dyDescent="0.3">
      <c r="A30" s="109" t="s">
        <v>165</v>
      </c>
      <c r="B30" s="313"/>
      <c r="C30" s="117"/>
      <c r="D30" s="314"/>
      <c r="E30" s="315"/>
      <c r="F30" s="316"/>
      <c r="G30" s="315"/>
      <c r="H30" s="315"/>
      <c r="I30" s="315"/>
      <c r="J30" s="315"/>
      <c r="K30" s="315"/>
      <c r="L30" s="315"/>
      <c r="M30" s="315"/>
      <c r="N30" s="315"/>
      <c r="O30" s="315"/>
      <c r="P30" s="315"/>
    </row>
    <row r="31" spans="1:18" s="111" customFormat="1" x14ac:dyDescent="0.3">
      <c r="A31" s="110" t="s">
        <v>166</v>
      </c>
      <c r="B31" s="295">
        <v>44917880.000000007</v>
      </c>
      <c r="C31" s="116">
        <f t="shared" si="0"/>
        <v>3.8272801072018157E-3</v>
      </c>
      <c r="D31" s="295">
        <v>43366826.000000007</v>
      </c>
      <c r="E31" s="295">
        <v>115281</v>
      </c>
      <c r="F31" s="295">
        <v>46946</v>
      </c>
      <c r="G31" s="295">
        <v>234528</v>
      </c>
      <c r="H31" s="295">
        <v>500050</v>
      </c>
      <c r="I31" s="281">
        <v>5776</v>
      </c>
      <c r="J31" s="295"/>
      <c r="K31" s="295"/>
      <c r="L31" s="295"/>
      <c r="M31" s="295"/>
      <c r="N31" s="295"/>
      <c r="O31" s="295"/>
      <c r="P31" s="295">
        <v>75427</v>
      </c>
      <c r="Q31" s="111">
        <v>573046</v>
      </c>
    </row>
    <row r="32" spans="1:18" s="111" customFormat="1" x14ac:dyDescent="0.3">
      <c r="A32" s="110" t="s">
        <v>167</v>
      </c>
      <c r="B32" s="281">
        <v>490646938.10129827</v>
      </c>
      <c r="C32" s="116">
        <f t="shared" si="0"/>
        <v>4.1806141916194153E-2</v>
      </c>
      <c r="D32" s="281">
        <v>181127328.30072653</v>
      </c>
      <c r="E32" s="281">
        <v>8877930.4999994542</v>
      </c>
      <c r="F32" s="281">
        <v>103294836.59952855</v>
      </c>
      <c r="G32" s="281">
        <v>1163379.6000001018</v>
      </c>
      <c r="H32" s="281">
        <v>191409766.80104357</v>
      </c>
      <c r="I32" s="295">
        <v>2808405.1999999988</v>
      </c>
      <c r="J32" s="317">
        <v>43645.599999999991</v>
      </c>
      <c r="K32" s="318">
        <v>1291.2</v>
      </c>
      <c r="L32" s="281">
        <v>10341.799999999999</v>
      </c>
      <c r="M32" s="281">
        <v>126965.40000000074</v>
      </c>
      <c r="N32" s="295">
        <v>13131.199999999995</v>
      </c>
      <c r="O32" s="281"/>
      <c r="P32" s="295">
        <v>1279954.500000095</v>
      </c>
      <c r="Q32" s="111">
        <v>489961.40000084462</v>
      </c>
    </row>
    <row r="33" spans="1:18" s="267" customFormat="1" x14ac:dyDescent="0.3">
      <c r="A33" s="280" t="s">
        <v>0</v>
      </c>
      <c r="B33" s="285">
        <v>2811515520.8200002</v>
      </c>
      <c r="C33" s="118">
        <f t="shared" si="0"/>
        <v>0.23955844362920817</v>
      </c>
      <c r="D33" s="285">
        <v>180828732.16</v>
      </c>
      <c r="E33" s="285">
        <v>344139.08</v>
      </c>
      <c r="F33" s="285">
        <v>322455.82</v>
      </c>
      <c r="G33" s="285">
        <v>10397812.42</v>
      </c>
      <c r="H33" s="285">
        <v>1870134125.0899999</v>
      </c>
      <c r="I33" s="285">
        <v>134499487.82999998</v>
      </c>
      <c r="J33" s="285">
        <v>400706402.66000003</v>
      </c>
      <c r="K33" s="285">
        <v>54566388.009999998</v>
      </c>
      <c r="L33" s="285">
        <v>249933.91</v>
      </c>
      <c r="M33" s="285"/>
      <c r="N33" s="285">
        <v>153535753.22999999</v>
      </c>
      <c r="O33" s="285"/>
      <c r="P33" s="285">
        <v>1171163.5</v>
      </c>
      <c r="Q33" s="268">
        <v>4759127.1100000003</v>
      </c>
      <c r="R33" s="268"/>
    </row>
    <row r="34" spans="1:18" s="320" customFormat="1" x14ac:dyDescent="0.3">
      <c r="A34" s="108" t="s">
        <v>168</v>
      </c>
      <c r="B34" s="319">
        <f>SUM(B31:B33)</f>
        <v>3347080338.9212985</v>
      </c>
      <c r="C34" s="117">
        <f t="shared" si="0"/>
        <v>0.28519186565260413</v>
      </c>
      <c r="D34" s="319">
        <f t="shared" ref="D34:Q34" si="2">SUM(D31:D33)</f>
        <v>405322886.4607265</v>
      </c>
      <c r="E34" s="319">
        <f t="shared" si="2"/>
        <v>9337350.5799994543</v>
      </c>
      <c r="F34" s="319">
        <f t="shared" si="2"/>
        <v>103664238.41952854</v>
      </c>
      <c r="G34" s="319">
        <f t="shared" si="2"/>
        <v>11795720.020000102</v>
      </c>
      <c r="H34" s="319">
        <f t="shared" si="2"/>
        <v>2062043941.8910434</v>
      </c>
      <c r="I34" s="319">
        <f>SUM(I31:I33)</f>
        <v>137313669.02999997</v>
      </c>
      <c r="J34" s="319">
        <f t="shared" si="2"/>
        <v>400750048.26000005</v>
      </c>
      <c r="K34" s="319">
        <f t="shared" si="2"/>
        <v>54567679.210000001</v>
      </c>
      <c r="L34" s="319">
        <f t="shared" si="2"/>
        <v>260275.71</v>
      </c>
      <c r="M34" s="319">
        <f t="shared" si="2"/>
        <v>126965.40000000074</v>
      </c>
      <c r="N34" s="319">
        <f t="shared" si="2"/>
        <v>153548884.42999998</v>
      </c>
      <c r="O34" s="319">
        <f t="shared" si="2"/>
        <v>0</v>
      </c>
      <c r="P34" s="319">
        <f t="shared" si="2"/>
        <v>2526545.000000095</v>
      </c>
      <c r="Q34" s="320">
        <f t="shared" si="2"/>
        <v>5822134.5100008454</v>
      </c>
    </row>
    <row r="35" spans="1:18" s="111" customFormat="1" x14ac:dyDescent="0.3">
      <c r="B35" s="295"/>
      <c r="C35" s="117"/>
      <c r="D35" s="318"/>
      <c r="E35" s="295"/>
      <c r="F35" s="295"/>
      <c r="G35" s="295"/>
      <c r="H35" s="295"/>
      <c r="I35" s="295"/>
      <c r="J35" s="295"/>
      <c r="K35" s="295"/>
      <c r="L35" s="295"/>
      <c r="M35" s="295"/>
      <c r="N35" s="295"/>
      <c r="O35" s="295"/>
      <c r="P35" s="295"/>
      <c r="Q35" s="321"/>
    </row>
    <row r="36" spans="1:18" s="320" customFormat="1" x14ac:dyDescent="0.3">
      <c r="A36" s="112" t="s">
        <v>169</v>
      </c>
      <c r="B36" s="313">
        <f>B28+B34</f>
        <v>11736240552.521297</v>
      </c>
      <c r="C36" s="117">
        <f t="shared" si="0"/>
        <v>1</v>
      </c>
      <c r="D36" s="313">
        <f t="shared" ref="D36:Q36" si="3">D28+D34</f>
        <v>1899662911.3007264</v>
      </c>
      <c r="E36" s="313">
        <f t="shared" si="3"/>
        <v>11481404.049999455</v>
      </c>
      <c r="F36" s="313">
        <f t="shared" si="3"/>
        <v>103858255.26952854</v>
      </c>
      <c r="G36" s="313">
        <f t="shared" si="3"/>
        <v>27064479.6800001</v>
      </c>
      <c r="H36" s="313">
        <f t="shared" si="3"/>
        <v>5300912790.7910423</v>
      </c>
      <c r="I36" s="313">
        <f t="shared" si="3"/>
        <v>1371152996.5699999</v>
      </c>
      <c r="J36" s="313">
        <f t="shared" si="3"/>
        <v>1491185646.4499998</v>
      </c>
      <c r="K36" s="313">
        <f t="shared" si="3"/>
        <v>277943524.26999998</v>
      </c>
      <c r="L36" s="313">
        <f t="shared" si="3"/>
        <v>14613991.090000002</v>
      </c>
      <c r="M36" s="313">
        <f t="shared" si="3"/>
        <v>11238273.35</v>
      </c>
      <c r="N36" s="313">
        <f t="shared" si="3"/>
        <v>1064787082.8899999</v>
      </c>
      <c r="O36" s="313">
        <f t="shared" si="3"/>
        <v>58464737.93</v>
      </c>
      <c r="P36" s="313">
        <f t="shared" si="3"/>
        <v>95824326.410000086</v>
      </c>
      <c r="Q36" s="322">
        <f t="shared" si="3"/>
        <v>8050132.4700008454</v>
      </c>
    </row>
    <row r="37" spans="1:18" x14ac:dyDescent="0.25">
      <c r="B37" s="14"/>
      <c r="C37" s="14"/>
      <c r="D37" s="14"/>
      <c r="E37" s="14"/>
      <c r="F37" s="14"/>
      <c r="G37" s="14"/>
      <c r="H37" s="14"/>
      <c r="I37" s="14"/>
      <c r="J37" s="14"/>
      <c r="K37" s="14"/>
      <c r="L37" s="14"/>
      <c r="M37" s="14"/>
      <c r="N37" s="14"/>
      <c r="O37" s="14"/>
      <c r="P37" s="14"/>
      <c r="Q37" s="14"/>
    </row>
    <row r="38" spans="1:18" s="115" customFormat="1" ht="15.75" x14ac:dyDescent="0.3">
      <c r="A38" s="112" t="s">
        <v>188</v>
      </c>
      <c r="B38" s="114">
        <f>B28+B33</f>
        <v>11200675734.42</v>
      </c>
      <c r="D38" s="114">
        <f t="shared" ref="D38:Q38" si="4">D28+D33</f>
        <v>1675168757</v>
      </c>
      <c r="E38" s="114">
        <f t="shared" si="4"/>
        <v>2488192.5500000012</v>
      </c>
      <c r="F38" s="114">
        <f t="shared" si="4"/>
        <v>516472.67000000004</v>
      </c>
      <c r="G38" s="114">
        <f t="shared" si="4"/>
        <v>25666572.079999998</v>
      </c>
      <c r="H38" s="114">
        <f t="shared" si="4"/>
        <v>5109002973.9899988</v>
      </c>
      <c r="I38" s="114">
        <f>I28+I33</f>
        <v>1368338815.3699999</v>
      </c>
      <c r="J38" s="114">
        <f t="shared" si="4"/>
        <v>1491142000.8499999</v>
      </c>
      <c r="K38" s="114">
        <f t="shared" si="4"/>
        <v>277942233.06999999</v>
      </c>
      <c r="L38" s="114">
        <f t="shared" si="4"/>
        <v>14603649.290000001</v>
      </c>
      <c r="M38" s="114">
        <f t="shared" si="4"/>
        <v>11111307.949999999</v>
      </c>
      <c r="N38" s="114">
        <f t="shared" si="4"/>
        <v>1064773951.6899999</v>
      </c>
      <c r="O38" s="114">
        <f t="shared" si="4"/>
        <v>58464737.93</v>
      </c>
      <c r="P38" s="114">
        <f t="shared" si="4"/>
        <v>94468944.909999996</v>
      </c>
      <c r="Q38" s="114">
        <f t="shared" si="4"/>
        <v>6987125.0700000003</v>
      </c>
    </row>
    <row r="39" spans="1:18" x14ac:dyDescent="0.25">
      <c r="B39" s="113"/>
      <c r="D39" s="113"/>
    </row>
    <row r="40" spans="1:18" s="85" customFormat="1" ht="13.5" x14ac:dyDescent="0.3">
      <c r="A40" s="119" t="s">
        <v>180</v>
      </c>
      <c r="B40" s="120"/>
      <c r="D40" s="121"/>
      <c r="E40" s="121"/>
      <c r="F40" s="121"/>
      <c r="G40" s="121"/>
      <c r="H40" s="121"/>
      <c r="I40" s="121"/>
      <c r="J40" s="121"/>
      <c r="K40" s="121"/>
      <c r="L40" s="121"/>
      <c r="M40" s="121"/>
      <c r="N40" s="121"/>
      <c r="O40" s="121"/>
      <c r="P40" s="121"/>
    </row>
    <row r="41" spans="1:18" s="85" customFormat="1" ht="13.5" x14ac:dyDescent="0.3">
      <c r="A41" s="119" t="s">
        <v>181</v>
      </c>
      <c r="B41" s="120"/>
      <c r="D41" s="121"/>
      <c r="E41" s="121"/>
      <c r="F41" s="121"/>
      <c r="G41" s="121"/>
      <c r="H41" s="121"/>
      <c r="I41" s="121"/>
      <c r="J41" s="121"/>
      <c r="K41" s="121"/>
      <c r="L41" s="121"/>
      <c r="M41" s="121"/>
      <c r="N41" s="121"/>
      <c r="O41" s="121"/>
      <c r="P41" s="121"/>
    </row>
    <row r="42" spans="1:18" s="128" customFormat="1" ht="13.5" x14ac:dyDescent="0.3">
      <c r="A42" s="122" t="s">
        <v>182</v>
      </c>
      <c r="B42" s="123"/>
      <c r="C42" s="124"/>
      <c r="D42" s="125"/>
      <c r="E42" s="125"/>
      <c r="F42" s="125"/>
      <c r="G42" s="125"/>
      <c r="H42" s="125"/>
      <c r="I42" s="125"/>
      <c r="J42" s="125"/>
      <c r="K42" s="126"/>
      <c r="L42" s="126"/>
      <c r="M42" s="126"/>
      <c r="N42" s="127"/>
      <c r="O42" s="127"/>
      <c r="P42" s="127"/>
    </row>
    <row r="43" spans="1:18" s="128" customFormat="1" ht="13.5" x14ac:dyDescent="0.3">
      <c r="A43" s="122" t="s">
        <v>183</v>
      </c>
      <c r="B43" s="123"/>
      <c r="C43" s="124"/>
      <c r="D43" s="125"/>
      <c r="E43" s="125"/>
      <c r="F43" s="125"/>
      <c r="G43" s="125"/>
      <c r="H43" s="125"/>
      <c r="I43" s="125"/>
      <c r="J43" s="125"/>
      <c r="K43" s="126"/>
      <c r="L43" s="126"/>
      <c r="M43" s="126"/>
      <c r="N43" s="127"/>
      <c r="O43" s="127"/>
      <c r="P43" s="127"/>
    </row>
    <row r="44" spans="1:18" s="128" customFormat="1" ht="13.5" x14ac:dyDescent="0.3">
      <c r="A44" s="122" t="s">
        <v>184</v>
      </c>
      <c r="B44" s="123"/>
      <c r="C44" s="124"/>
      <c r="D44" s="125"/>
      <c r="E44" s="125"/>
      <c r="F44" s="125"/>
      <c r="G44" s="125"/>
      <c r="H44" s="125"/>
      <c r="I44" s="129"/>
      <c r="J44" s="129"/>
      <c r="K44" s="126"/>
      <c r="L44" s="126"/>
      <c r="M44" s="126"/>
      <c r="N44" s="127"/>
      <c r="O44" s="127"/>
      <c r="P44" s="127"/>
    </row>
    <row r="45" spans="1:18" s="128" customFormat="1" ht="13.5" x14ac:dyDescent="0.3">
      <c r="A45" s="122" t="s">
        <v>389</v>
      </c>
      <c r="B45" s="123"/>
      <c r="C45" s="124"/>
      <c r="D45" s="125"/>
      <c r="E45" s="125"/>
      <c r="F45" s="125"/>
      <c r="G45" s="125"/>
      <c r="H45" s="125"/>
      <c r="I45" s="129"/>
      <c r="J45" s="129"/>
      <c r="K45" s="126"/>
      <c r="L45" s="126"/>
      <c r="M45" s="126"/>
      <c r="N45" s="127"/>
      <c r="O45" s="127"/>
      <c r="P45" s="127"/>
    </row>
    <row r="46" spans="1:18" s="128" customFormat="1" ht="33.75" customHeight="1" x14ac:dyDescent="0.3">
      <c r="A46" s="457" t="s">
        <v>185</v>
      </c>
      <c r="B46" s="458"/>
      <c r="C46" s="458"/>
      <c r="D46" s="458"/>
      <c r="E46" s="458"/>
      <c r="F46" s="458"/>
      <c r="G46" s="458"/>
      <c r="H46" s="458"/>
      <c r="I46" s="458"/>
      <c r="J46" s="458"/>
      <c r="K46" s="458"/>
      <c r="L46" s="458"/>
      <c r="M46" s="458"/>
      <c r="N46" s="127"/>
      <c r="O46" s="127"/>
      <c r="P46" s="127"/>
    </row>
    <row r="47" spans="1:18" s="128" customFormat="1" ht="12" customHeight="1" x14ac:dyDescent="0.3">
      <c r="A47" s="457" t="s">
        <v>186</v>
      </c>
      <c r="B47" s="458"/>
      <c r="C47" s="458"/>
      <c r="D47" s="458"/>
      <c r="E47" s="458"/>
      <c r="F47" s="458"/>
      <c r="G47" s="458"/>
      <c r="H47" s="458"/>
      <c r="I47" s="458"/>
      <c r="J47" s="458"/>
      <c r="K47" s="458"/>
      <c r="L47" s="458"/>
      <c r="M47" s="458"/>
      <c r="N47" s="127"/>
      <c r="O47" s="127"/>
      <c r="P47" s="127"/>
    </row>
    <row r="48" spans="1:18" s="128" customFormat="1" ht="13.5" x14ac:dyDescent="0.3">
      <c r="B48" s="130"/>
      <c r="C48" s="131"/>
      <c r="D48" s="127"/>
      <c r="E48" s="127"/>
      <c r="F48" s="127"/>
      <c r="G48" s="127"/>
      <c r="H48" s="127"/>
      <c r="I48" s="127"/>
      <c r="J48" s="127"/>
      <c r="K48" s="127"/>
      <c r="L48" s="127"/>
      <c r="M48" s="127"/>
      <c r="N48" s="127"/>
      <c r="O48" s="127"/>
      <c r="P48" s="127"/>
    </row>
    <row r="49" spans="1:16" s="128" customFormat="1" ht="14.25" x14ac:dyDescent="0.3">
      <c r="A49" s="169" t="s">
        <v>187</v>
      </c>
      <c r="B49" s="130"/>
      <c r="C49" s="131"/>
      <c r="D49" s="127"/>
      <c r="E49" s="127"/>
      <c r="F49" s="127"/>
      <c r="G49" s="127"/>
      <c r="H49" s="127"/>
      <c r="I49" s="127"/>
      <c r="J49" s="127"/>
      <c r="K49" s="127"/>
      <c r="L49" s="127"/>
      <c r="M49" s="127"/>
      <c r="N49" s="127"/>
      <c r="O49" s="127"/>
      <c r="P49" s="127"/>
    </row>
  </sheetData>
  <mergeCells count="6">
    <mergeCell ref="A47:M47"/>
    <mergeCell ref="A46:M46"/>
    <mergeCell ref="A1:P1"/>
    <mergeCell ref="A2:P2"/>
    <mergeCell ref="A3:P3"/>
    <mergeCell ref="A4:P4"/>
  </mergeCells>
  <pageMargins left="0.7" right="0.7" top="0.75" bottom="0.75" header="0.3" footer="0.3"/>
  <pageSetup orientation="portrait" horizontalDpi="4294967293" verticalDpi="0" r:id="rId1"/>
  <ignoredErrors>
    <ignoredError sqref="C28:C34 C3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pane ySplit="6" topLeftCell="A7" activePane="bottomLeft" state="frozen"/>
      <selection pane="bottomLeft" activeCell="A7" sqref="A7"/>
    </sheetView>
  </sheetViews>
  <sheetFormatPr defaultRowHeight="16.5" x14ac:dyDescent="0.3"/>
  <cols>
    <col min="1" max="1" width="45.42578125" style="77" bestFit="1" customWidth="1"/>
    <col min="2" max="2" width="21.85546875" style="357" bestFit="1" customWidth="1"/>
    <col min="3" max="3" width="12.28515625" style="358" customWidth="1"/>
    <col min="4" max="4" width="19.42578125" style="357" customWidth="1"/>
    <col min="5" max="5" width="18" style="357" bestFit="1" customWidth="1"/>
    <col min="6" max="6" width="17.85546875" style="357" bestFit="1" customWidth="1"/>
    <col min="7" max="7" width="13.5703125" style="357" customWidth="1"/>
    <col min="8" max="8" width="20" style="357" bestFit="1" customWidth="1"/>
    <col min="9" max="11" width="13.85546875" style="357" customWidth="1"/>
    <col min="12" max="16384" width="9.140625" style="77"/>
  </cols>
  <sheetData>
    <row r="1" spans="1:11" s="323" customFormat="1" ht="18" x14ac:dyDescent="0.35">
      <c r="A1" s="455" t="s">
        <v>189</v>
      </c>
      <c r="B1" s="455"/>
      <c r="C1" s="455"/>
      <c r="D1" s="455"/>
      <c r="E1" s="455"/>
      <c r="F1" s="455"/>
      <c r="G1" s="455"/>
      <c r="H1" s="455"/>
      <c r="I1" s="455"/>
      <c r="J1" s="455"/>
      <c r="K1" s="455"/>
    </row>
    <row r="2" spans="1:11" s="323" customFormat="1" ht="18" x14ac:dyDescent="0.35">
      <c r="A2" s="455" t="s">
        <v>3</v>
      </c>
      <c r="B2" s="455"/>
      <c r="C2" s="455"/>
      <c r="D2" s="455"/>
      <c r="E2" s="455"/>
      <c r="F2" s="455"/>
      <c r="G2" s="455"/>
      <c r="H2" s="455"/>
      <c r="I2" s="455"/>
      <c r="J2" s="455"/>
      <c r="K2" s="455"/>
    </row>
    <row r="3" spans="1:11" s="323" customFormat="1" ht="18" x14ac:dyDescent="0.35">
      <c r="A3" s="455" t="s">
        <v>22</v>
      </c>
      <c r="B3" s="455"/>
      <c r="C3" s="455"/>
      <c r="D3" s="455"/>
      <c r="E3" s="455"/>
      <c r="F3" s="455"/>
      <c r="G3" s="455"/>
      <c r="H3" s="455"/>
      <c r="I3" s="455"/>
      <c r="J3" s="455"/>
      <c r="K3" s="455"/>
    </row>
    <row r="4" spans="1:11" s="323" customFormat="1" ht="18" x14ac:dyDescent="0.35">
      <c r="A4" s="455" t="s">
        <v>190</v>
      </c>
      <c r="B4" s="455"/>
      <c r="C4" s="455"/>
      <c r="D4" s="455"/>
      <c r="E4" s="455"/>
      <c r="F4" s="455"/>
      <c r="G4" s="455"/>
      <c r="H4" s="455"/>
      <c r="I4" s="455"/>
      <c r="J4" s="455"/>
      <c r="K4" s="455"/>
    </row>
    <row r="5" spans="1:11" s="68" customFormat="1" x14ac:dyDescent="0.3">
      <c r="A5" s="324"/>
      <c r="B5" s="66"/>
      <c r="C5" s="66"/>
      <c r="D5" s="66"/>
      <c r="E5" s="66"/>
      <c r="F5" s="66"/>
      <c r="G5" s="66"/>
      <c r="H5" s="66"/>
      <c r="I5" s="66"/>
      <c r="J5" s="66"/>
      <c r="K5" s="66"/>
    </row>
    <row r="6" spans="1:11" s="39" customFormat="1" ht="86.25" customHeight="1" x14ac:dyDescent="0.3">
      <c r="A6" s="133" t="s">
        <v>5</v>
      </c>
      <c r="B6" s="99" t="s">
        <v>8</v>
      </c>
      <c r="C6" s="11" t="s">
        <v>7</v>
      </c>
      <c r="D6" s="12" t="s">
        <v>191</v>
      </c>
      <c r="E6" s="12" t="s">
        <v>10</v>
      </c>
      <c r="F6" s="325" t="s">
        <v>192</v>
      </c>
      <c r="G6" s="11" t="s">
        <v>7</v>
      </c>
      <c r="H6" s="325" t="s">
        <v>193</v>
      </c>
      <c r="I6" s="326" t="s">
        <v>196</v>
      </c>
      <c r="J6" s="326" t="s">
        <v>194</v>
      </c>
      <c r="K6" s="326" t="s">
        <v>195</v>
      </c>
    </row>
    <row r="7" spans="1:11" s="267" customFormat="1" ht="15" x14ac:dyDescent="0.3">
      <c r="A7" s="280" t="s">
        <v>201</v>
      </c>
      <c r="B7" s="302">
        <v>7310769.9800000004</v>
      </c>
      <c r="C7" s="327">
        <f t="shared" ref="C7:C28" si="0">B7/$B$36</f>
        <v>3.84845644798856E-3</v>
      </c>
      <c r="D7" s="302">
        <v>73381.38</v>
      </c>
      <c r="E7" s="302">
        <v>8014.62</v>
      </c>
      <c r="F7" s="302">
        <f>D7+E7</f>
        <v>81396</v>
      </c>
      <c r="G7" s="327">
        <f t="shared" ref="G7:G28" si="1">F7/$F$36</f>
        <v>7.0570695700172717E-4</v>
      </c>
      <c r="H7" s="302">
        <f>B7+F7</f>
        <v>7392165.9800000004</v>
      </c>
      <c r="I7" s="328">
        <f t="shared" ref="I7:I28" si="2">H7/$H$36</f>
        <v>3.6685640444242993E-3</v>
      </c>
      <c r="J7" s="328">
        <v>-1.9928666952548678E-3</v>
      </c>
      <c r="K7" s="328">
        <v>2.3008945637089266E-2</v>
      </c>
    </row>
    <row r="8" spans="1:11" s="267" customFormat="1" ht="15" x14ac:dyDescent="0.3">
      <c r="A8" s="280" t="s">
        <v>202</v>
      </c>
      <c r="B8" s="302">
        <v>15235434.859999999</v>
      </c>
      <c r="C8" s="327">
        <f t="shared" si="0"/>
        <v>8.0200728083742387E-3</v>
      </c>
      <c r="D8" s="302">
        <v>920325.19000000006</v>
      </c>
      <c r="E8" s="302">
        <v>712.68000000000006</v>
      </c>
      <c r="F8" s="302">
        <f t="shared" ref="F8:F27" si="3">D8+E8</f>
        <v>921037.87000000011</v>
      </c>
      <c r="G8" s="327">
        <f t="shared" si="1"/>
        <v>7.98543948745703E-3</v>
      </c>
      <c r="H8" s="302">
        <f t="shared" ref="H8:H27" si="4">B8+F8</f>
        <v>16156472.73</v>
      </c>
      <c r="I8" s="328">
        <f t="shared" si="2"/>
        <v>8.0180903814066808E-3</v>
      </c>
      <c r="J8" s="328">
        <v>1.3567306731849343E-2</v>
      </c>
      <c r="K8" s="328">
        <v>1.5423278848255525E-2</v>
      </c>
    </row>
    <row r="9" spans="1:11" s="267" customFormat="1" ht="15" x14ac:dyDescent="0.3">
      <c r="A9" s="280" t="s">
        <v>203</v>
      </c>
      <c r="B9" s="302">
        <v>17596</v>
      </c>
      <c r="C9" s="327">
        <f t="shared" si="0"/>
        <v>9.2626959737566113E-6</v>
      </c>
      <c r="D9" s="302">
        <v>0</v>
      </c>
      <c r="E9" s="302"/>
      <c r="F9" s="302">
        <f t="shared" si="3"/>
        <v>0</v>
      </c>
      <c r="G9" s="327">
        <f t="shared" si="1"/>
        <v>0</v>
      </c>
      <c r="H9" s="302">
        <f t="shared" si="4"/>
        <v>17596</v>
      </c>
      <c r="I9" s="328">
        <f t="shared" si="2"/>
        <v>8.7324950630626883E-6</v>
      </c>
      <c r="J9" s="328">
        <v>-3.6490735607197414E-6</v>
      </c>
      <c r="K9" s="328">
        <v>8.7778051594135077E-6</v>
      </c>
    </row>
    <row r="10" spans="1:11" s="267" customFormat="1" ht="15" x14ac:dyDescent="0.3">
      <c r="A10" s="280" t="s">
        <v>198</v>
      </c>
      <c r="B10" s="302">
        <v>0</v>
      </c>
      <c r="C10" s="327">
        <f t="shared" si="0"/>
        <v>0</v>
      </c>
      <c r="D10" s="302">
        <v>0</v>
      </c>
      <c r="E10" s="302">
        <v>0</v>
      </c>
      <c r="F10" s="302">
        <v>0</v>
      </c>
      <c r="G10" s="327">
        <f t="shared" si="1"/>
        <v>0</v>
      </c>
      <c r="H10" s="302">
        <v>0</v>
      </c>
      <c r="I10" s="328">
        <f t="shared" si="2"/>
        <v>0</v>
      </c>
      <c r="J10" s="328">
        <v>0</v>
      </c>
      <c r="K10" s="329">
        <v>0</v>
      </c>
    </row>
    <row r="11" spans="1:11" s="267" customFormat="1" ht="15" x14ac:dyDescent="0.3">
      <c r="A11" s="280" t="s">
        <v>204</v>
      </c>
      <c r="B11" s="302">
        <v>28635988.780000001</v>
      </c>
      <c r="C11" s="327">
        <f t="shared" si="0"/>
        <v>1.5074247441296061E-2</v>
      </c>
      <c r="D11" s="302">
        <v>734498.38</v>
      </c>
      <c r="E11" s="302">
        <v>3015.89</v>
      </c>
      <c r="F11" s="302">
        <f t="shared" si="3"/>
        <v>737514.27</v>
      </c>
      <c r="G11" s="327">
        <f t="shared" si="1"/>
        <v>6.3942816751075011E-3</v>
      </c>
      <c r="H11" s="302">
        <f t="shared" si="4"/>
        <v>29373503.050000001</v>
      </c>
      <c r="I11" s="328">
        <f t="shared" si="2"/>
        <v>1.4577402271481124E-2</v>
      </c>
      <c r="J11" s="328">
        <v>2.1596848420372825E-2</v>
      </c>
      <c r="K11" s="328">
        <v>3.1054654909717632E-2</v>
      </c>
    </row>
    <row r="12" spans="1:11" s="267" customFormat="1" ht="15" x14ac:dyDescent="0.3">
      <c r="A12" s="280" t="s">
        <v>205</v>
      </c>
      <c r="B12" s="302">
        <v>1903126.8599999999</v>
      </c>
      <c r="C12" s="327">
        <f t="shared" si="0"/>
        <v>1.0018234544027086E-3</v>
      </c>
      <c r="D12" s="302">
        <v>-120836.29000000001</v>
      </c>
      <c r="E12" s="302">
        <v>424.56</v>
      </c>
      <c r="F12" s="302">
        <f t="shared" si="3"/>
        <v>-120411.73000000001</v>
      </c>
      <c r="G12" s="327">
        <f t="shared" si="1"/>
        <v>-1.0439750794340457E-3</v>
      </c>
      <c r="H12" s="302">
        <f t="shared" si="4"/>
        <v>1782715.13</v>
      </c>
      <c r="I12" s="328">
        <f t="shared" si="2"/>
        <v>8.8472102020755621E-4</v>
      </c>
      <c r="J12" s="328">
        <v>2.5603512191691704E-3</v>
      </c>
      <c r="K12" s="328">
        <v>3.8023602810172423E-3</v>
      </c>
    </row>
    <row r="13" spans="1:11" s="267" customFormat="1" ht="15" x14ac:dyDescent="0.3">
      <c r="A13" s="280" t="s">
        <v>206</v>
      </c>
      <c r="B13" s="302">
        <v>958768616.48000002</v>
      </c>
      <c r="C13" s="327">
        <f t="shared" si="0"/>
        <v>0.50470460352543145</v>
      </c>
      <c r="D13" s="302">
        <v>246253.30000000002</v>
      </c>
      <c r="E13" s="302">
        <v>132367.64000000001</v>
      </c>
      <c r="F13" s="302">
        <f t="shared" si="3"/>
        <v>378620.94000000006</v>
      </c>
      <c r="G13" s="327">
        <f t="shared" si="1"/>
        <v>3.2826604676462422E-3</v>
      </c>
      <c r="H13" s="302">
        <f t="shared" si="4"/>
        <v>959147237.42000008</v>
      </c>
      <c r="I13" s="328">
        <f t="shared" si="2"/>
        <v>0.47600298451468331</v>
      </c>
      <c r="J13" s="328">
        <v>0.47849170771701738</v>
      </c>
      <c r="K13" s="328">
        <v>0.4533442030519319</v>
      </c>
    </row>
    <row r="14" spans="1:11" s="267" customFormat="1" ht="15" x14ac:dyDescent="0.3">
      <c r="A14" s="280" t="s">
        <v>199</v>
      </c>
      <c r="B14" s="302">
        <v>0</v>
      </c>
      <c r="C14" s="327">
        <f t="shared" si="0"/>
        <v>0</v>
      </c>
      <c r="D14" s="302">
        <v>0</v>
      </c>
      <c r="E14" s="302">
        <v>0</v>
      </c>
      <c r="F14" s="302">
        <f t="shared" si="3"/>
        <v>0</v>
      </c>
      <c r="G14" s="327">
        <f t="shared" si="1"/>
        <v>0</v>
      </c>
      <c r="H14" s="302">
        <f t="shared" si="4"/>
        <v>0</v>
      </c>
      <c r="I14" s="328">
        <f t="shared" si="2"/>
        <v>0</v>
      </c>
      <c r="J14" s="328">
        <v>0</v>
      </c>
      <c r="K14" s="328">
        <v>0</v>
      </c>
    </row>
    <row r="15" spans="1:11" s="267" customFormat="1" ht="15" x14ac:dyDescent="0.3">
      <c r="A15" s="280" t="s">
        <v>207</v>
      </c>
      <c r="B15" s="302">
        <v>13624661.380000001</v>
      </c>
      <c r="C15" s="327">
        <f t="shared" si="0"/>
        <v>7.1721468577132979E-3</v>
      </c>
      <c r="D15" s="302">
        <v>7311.56</v>
      </c>
      <c r="E15" s="302">
        <v>2135.91</v>
      </c>
      <c r="F15" s="302">
        <f t="shared" si="3"/>
        <v>9447.4700000000012</v>
      </c>
      <c r="G15" s="327">
        <f t="shared" si="1"/>
        <v>8.1909987039475006E-5</v>
      </c>
      <c r="H15" s="302">
        <f t="shared" si="4"/>
        <v>13634108.850000001</v>
      </c>
      <c r="I15" s="328">
        <f t="shared" si="2"/>
        <v>6.7662984895365047E-3</v>
      </c>
      <c r="J15" s="328">
        <v>6.6646995614924286E-3</v>
      </c>
      <c r="K15" s="328">
        <v>6.7026319706064881E-3</v>
      </c>
    </row>
    <row r="16" spans="1:11" s="267" customFormat="1" ht="15" x14ac:dyDescent="0.3">
      <c r="A16" s="280" t="s">
        <v>208</v>
      </c>
      <c r="B16" s="302">
        <v>9457913.3900000006</v>
      </c>
      <c r="C16" s="327">
        <f t="shared" si="0"/>
        <v>4.9787324549722522E-3</v>
      </c>
      <c r="D16" s="302">
        <v>72943.100000000006</v>
      </c>
      <c r="E16" s="302"/>
      <c r="F16" s="302">
        <f t="shared" si="3"/>
        <v>72943.100000000006</v>
      </c>
      <c r="G16" s="327">
        <f t="shared" si="1"/>
        <v>6.3241993630243115E-4</v>
      </c>
      <c r="H16" s="302">
        <f t="shared" si="4"/>
        <v>9530856.4900000002</v>
      </c>
      <c r="I16" s="328">
        <f t="shared" si="2"/>
        <v>4.729947558859058E-3</v>
      </c>
      <c r="J16" s="328">
        <v>3.0664670845760777E-3</v>
      </c>
      <c r="K16" s="328">
        <v>2.5254804097715119E-3</v>
      </c>
    </row>
    <row r="17" spans="1:11" s="267" customFormat="1" ht="15" x14ac:dyDescent="0.3">
      <c r="A17" s="280" t="s">
        <v>209</v>
      </c>
      <c r="B17" s="302">
        <v>37900975.710000001</v>
      </c>
      <c r="C17" s="327">
        <f t="shared" si="0"/>
        <v>1.9951421636193685E-2</v>
      </c>
      <c r="D17" s="302">
        <v>168111.4</v>
      </c>
      <c r="E17" s="302">
        <v>8194.64</v>
      </c>
      <c r="F17" s="302">
        <f t="shared" si="3"/>
        <v>176306.03999999998</v>
      </c>
      <c r="G17" s="327">
        <f t="shared" si="1"/>
        <v>1.52858124464869E-3</v>
      </c>
      <c r="H17" s="302">
        <f t="shared" si="4"/>
        <v>38077281.75</v>
      </c>
      <c r="I17" s="328">
        <f t="shared" si="2"/>
        <v>1.8896889912293817E-2</v>
      </c>
      <c r="J17" s="328">
        <v>2.1580979372587076E-2</v>
      </c>
      <c r="K17" s="328">
        <v>1.992875108951489E-2</v>
      </c>
    </row>
    <row r="18" spans="1:11" s="267" customFormat="1" ht="15" x14ac:dyDescent="0.3">
      <c r="A18" s="280" t="s">
        <v>210</v>
      </c>
      <c r="B18" s="302">
        <v>136530733.78</v>
      </c>
      <c r="C18" s="327">
        <f t="shared" si="0"/>
        <v>7.1871031943512256E-2</v>
      </c>
      <c r="D18" s="302">
        <v>335.47</v>
      </c>
      <c r="E18" s="302">
        <v>18014.670000000002</v>
      </c>
      <c r="F18" s="302">
        <f t="shared" si="3"/>
        <v>18350.140000000003</v>
      </c>
      <c r="G18" s="327">
        <f t="shared" si="1"/>
        <v>1.5909653373575699E-4</v>
      </c>
      <c r="H18" s="302">
        <f t="shared" si="4"/>
        <v>136549083.91999999</v>
      </c>
      <c r="I18" s="328">
        <f t="shared" si="2"/>
        <v>6.7766208297177347E-2</v>
      </c>
      <c r="J18" s="328">
        <v>6.6834995537244354E-2</v>
      </c>
      <c r="K18" s="328">
        <v>6.9962862342092424E-2</v>
      </c>
    </row>
    <row r="19" spans="1:11" s="267" customFormat="1" ht="15" x14ac:dyDescent="0.3">
      <c r="A19" s="280" t="s">
        <v>211</v>
      </c>
      <c r="B19" s="302">
        <v>10578.68</v>
      </c>
      <c r="C19" s="327">
        <f t="shared" si="0"/>
        <v>5.5687142898192539E-6</v>
      </c>
      <c r="D19" s="302"/>
      <c r="E19" s="302"/>
      <c r="F19" s="302">
        <f t="shared" si="3"/>
        <v>0</v>
      </c>
      <c r="G19" s="327">
        <f t="shared" si="1"/>
        <v>0</v>
      </c>
      <c r="H19" s="302">
        <f t="shared" si="4"/>
        <v>10578.68</v>
      </c>
      <c r="I19" s="328">
        <f t="shared" si="2"/>
        <v>5.2499585629529442E-6</v>
      </c>
      <c r="J19" s="328">
        <v>3.4982351135196937E-6</v>
      </c>
      <c r="K19" s="328">
        <v>1.4680438916977633E-6</v>
      </c>
    </row>
    <row r="20" spans="1:11" s="267" customFormat="1" ht="15" x14ac:dyDescent="0.3">
      <c r="A20" s="280" t="s">
        <v>212</v>
      </c>
      <c r="B20" s="302"/>
      <c r="C20" s="327">
        <f t="shared" si="0"/>
        <v>0</v>
      </c>
      <c r="D20" s="302"/>
      <c r="E20" s="302">
        <v>28.28</v>
      </c>
      <c r="F20" s="302">
        <f t="shared" si="3"/>
        <v>28.28</v>
      </c>
      <c r="G20" s="327">
        <f t="shared" si="1"/>
        <v>2.4518886362977105E-7</v>
      </c>
      <c r="H20" s="302">
        <f t="shared" si="4"/>
        <v>28.28</v>
      </c>
      <c r="I20" s="328">
        <f t="shared" si="2"/>
        <v>1.4034721549409687E-8</v>
      </c>
      <c r="J20" s="328">
        <v>6.9304695922020208E-8</v>
      </c>
      <c r="K20" s="329">
        <v>0</v>
      </c>
    </row>
    <row r="21" spans="1:11" s="267" customFormat="1" ht="15" x14ac:dyDescent="0.3">
      <c r="A21" s="280" t="s">
        <v>213</v>
      </c>
      <c r="B21" s="302">
        <v>222419564.59</v>
      </c>
      <c r="C21" s="327">
        <f t="shared" si="0"/>
        <v>0.11708370114869808</v>
      </c>
      <c r="D21" s="302">
        <v>53317.18</v>
      </c>
      <c r="E21" s="302">
        <v>20862.330000000002</v>
      </c>
      <c r="F21" s="302">
        <f t="shared" si="3"/>
        <v>74179.510000000009</v>
      </c>
      <c r="G21" s="327">
        <f t="shared" si="1"/>
        <v>6.4313966624870013E-4</v>
      </c>
      <c r="H21" s="302">
        <f t="shared" si="4"/>
        <v>222493744.09999999</v>
      </c>
      <c r="I21" s="328">
        <f t="shared" si="2"/>
        <v>0.11041859069763488</v>
      </c>
      <c r="J21" s="328">
        <v>0.11914694585622218</v>
      </c>
      <c r="K21" s="328">
        <v>0.12030226779806907</v>
      </c>
    </row>
    <row r="22" spans="1:11" s="267" customFormat="1" ht="15" x14ac:dyDescent="0.3">
      <c r="A22" s="280" t="s">
        <v>214</v>
      </c>
      <c r="B22" s="302">
        <v>48425418.520000003</v>
      </c>
      <c r="C22" s="327">
        <f t="shared" si="0"/>
        <v>2.5491584971168608E-2</v>
      </c>
      <c r="D22" s="302">
        <v>10103.83</v>
      </c>
      <c r="E22" s="302"/>
      <c r="F22" s="302">
        <f t="shared" si="3"/>
        <v>10103.83</v>
      </c>
      <c r="G22" s="327">
        <f t="shared" si="1"/>
        <v>8.7600657567481939E-5</v>
      </c>
      <c r="H22" s="302">
        <f t="shared" si="4"/>
        <v>48435522.350000001</v>
      </c>
      <c r="I22" s="328">
        <f t="shared" si="2"/>
        <v>2.403744940885642E-2</v>
      </c>
      <c r="J22" s="328">
        <v>2.3312336810258485E-2</v>
      </c>
      <c r="K22" s="328">
        <v>2.0915637543727172E-2</v>
      </c>
    </row>
    <row r="23" spans="1:11" s="267" customFormat="1" ht="15" x14ac:dyDescent="0.3">
      <c r="A23" s="280" t="s">
        <v>215</v>
      </c>
      <c r="B23" s="302">
        <v>55343.78</v>
      </c>
      <c r="C23" s="327">
        <f t="shared" si="0"/>
        <v>2.9133473981499866E-5</v>
      </c>
      <c r="D23" s="302">
        <v>-125.82000000000001</v>
      </c>
      <c r="E23" s="302"/>
      <c r="F23" s="302">
        <f t="shared" si="3"/>
        <v>-125.82000000000001</v>
      </c>
      <c r="G23" s="327">
        <f t="shared" si="1"/>
        <v>-1.0908650219907281E-6</v>
      </c>
      <c r="H23" s="302">
        <f t="shared" si="4"/>
        <v>55217.96</v>
      </c>
      <c r="I23" s="328">
        <f t="shared" si="2"/>
        <v>2.7403419134598378E-5</v>
      </c>
      <c r="J23" s="328">
        <v>2.632052835124357E-5</v>
      </c>
      <c r="K23" s="328">
        <v>1.4413722735771369E-5</v>
      </c>
    </row>
    <row r="24" spans="1:11" s="267" customFormat="1" ht="15" x14ac:dyDescent="0.3">
      <c r="A24" s="280" t="s">
        <v>216</v>
      </c>
      <c r="B24" s="302">
        <v>333973.85000000003</v>
      </c>
      <c r="C24" s="327">
        <f t="shared" si="0"/>
        <v>1.7580690132615337E-4</v>
      </c>
      <c r="D24" s="302">
        <v>4389.83</v>
      </c>
      <c r="E24" s="302">
        <v>0</v>
      </c>
      <c r="F24" s="302">
        <f t="shared" si="3"/>
        <v>4389.83</v>
      </c>
      <c r="G24" s="327">
        <f t="shared" si="1"/>
        <v>3.8060022249924957E-5</v>
      </c>
      <c r="H24" s="302">
        <f t="shared" si="4"/>
        <v>338363.68000000005</v>
      </c>
      <c r="I24" s="328">
        <f t="shared" si="2"/>
        <v>1.6792220761080497E-4</v>
      </c>
      <c r="J24" s="328">
        <v>2.8270090601580729E-4</v>
      </c>
      <c r="K24" s="328">
        <v>2.3421270247100538E-4</v>
      </c>
    </row>
    <row r="25" spans="1:11" s="267" customFormat="1" ht="15" x14ac:dyDescent="0.3">
      <c r="A25" s="280" t="s">
        <v>200</v>
      </c>
      <c r="B25" s="302">
        <v>0</v>
      </c>
      <c r="C25" s="327">
        <f t="shared" si="0"/>
        <v>0</v>
      </c>
      <c r="D25" s="302">
        <v>0</v>
      </c>
      <c r="E25" s="302">
        <v>0</v>
      </c>
      <c r="F25" s="302">
        <f t="shared" si="3"/>
        <v>0</v>
      </c>
      <c r="G25" s="327">
        <f t="shared" si="1"/>
        <v>0</v>
      </c>
      <c r="H25" s="302">
        <f t="shared" si="4"/>
        <v>0</v>
      </c>
      <c r="I25" s="328">
        <f t="shared" si="2"/>
        <v>0</v>
      </c>
      <c r="J25" s="328">
        <v>1.3254019427238098E-7</v>
      </c>
      <c r="K25" s="328">
        <v>1.7117144061219216E-7</v>
      </c>
    </row>
    <row r="26" spans="1:11" s="267" customFormat="1" ht="15" x14ac:dyDescent="0.3">
      <c r="A26" s="280" t="s">
        <v>217</v>
      </c>
      <c r="B26" s="302">
        <v>277829.28000000003</v>
      </c>
      <c r="C26" s="327">
        <f t="shared" si="0"/>
        <v>1.462518841354682E-4</v>
      </c>
      <c r="D26" s="302">
        <v>12614.02</v>
      </c>
      <c r="E26" s="302"/>
      <c r="F26" s="302">
        <f t="shared" si="3"/>
        <v>12614.02</v>
      </c>
      <c r="G26" s="327">
        <f t="shared" si="1"/>
        <v>1.0936411702981629E-4</v>
      </c>
      <c r="H26" s="302">
        <f t="shared" si="4"/>
        <v>290443.30000000005</v>
      </c>
      <c r="I26" s="328">
        <f t="shared" si="2"/>
        <v>1.4414041164751283E-4</v>
      </c>
      <c r="J26" s="328">
        <v>7.0090498352177858E-5</v>
      </c>
      <c r="K26" s="328">
        <v>8.8124933773361922E-5</v>
      </c>
    </row>
    <row r="27" spans="1:11" s="267" customFormat="1" ht="15" x14ac:dyDescent="0.3">
      <c r="A27" s="280" t="s">
        <v>218</v>
      </c>
      <c r="B27" s="330">
        <v>13431498.92</v>
      </c>
      <c r="C27" s="331">
        <f t="shared" si="0"/>
        <v>7.0704643650716225E-3</v>
      </c>
      <c r="D27" s="330">
        <v>-38569.06</v>
      </c>
      <c r="E27" s="330">
        <v>245.63</v>
      </c>
      <c r="F27" s="330">
        <f t="shared" si="3"/>
        <v>-38323.43</v>
      </c>
      <c r="G27" s="331">
        <f t="shared" si="1"/>
        <v>-3.3226585049841149E-4</v>
      </c>
      <c r="H27" s="330">
        <f t="shared" si="4"/>
        <v>13393175.49</v>
      </c>
      <c r="I27" s="332">
        <f t="shared" si="2"/>
        <v>6.6467287363694708E-3</v>
      </c>
      <c r="J27" s="332">
        <v>9.0812494194640152E-3</v>
      </c>
      <c r="K27" s="332">
        <v>1.27507971784634E-2</v>
      </c>
    </row>
    <row r="28" spans="1:11" s="82" customFormat="1" ht="15" x14ac:dyDescent="0.3">
      <c r="A28" s="333" t="s">
        <v>1</v>
      </c>
      <c r="B28" s="334">
        <f>SUM(B7:B27)</f>
        <v>1494340024.8399999</v>
      </c>
      <c r="C28" s="335">
        <f t="shared" si="0"/>
        <v>0.7866343107245295</v>
      </c>
      <c r="D28" s="334">
        <f>SUM(D7:D27)</f>
        <v>2144053.4700000011</v>
      </c>
      <c r="E28" s="334">
        <f>SUM(E7:E27)</f>
        <v>194016.85000000003</v>
      </c>
      <c r="F28" s="334">
        <f>SUM(F7:F27)</f>
        <v>2338070.3199999998</v>
      </c>
      <c r="G28" s="335">
        <f t="shared" si="1"/>
        <v>2.0271174145943958E-2</v>
      </c>
      <c r="H28" s="334">
        <f>SUM(H7:H27)</f>
        <v>1496678095.1600001</v>
      </c>
      <c r="I28" s="328">
        <f t="shared" si="2"/>
        <v>0.74276733785967097</v>
      </c>
      <c r="J28" s="336">
        <v>0.76429018397416082</v>
      </c>
      <c r="K28" s="336">
        <v>0.7800691458688076</v>
      </c>
    </row>
    <row r="29" spans="1:11" s="82" customFormat="1" ht="15" x14ac:dyDescent="0.3">
      <c r="A29" s="333"/>
      <c r="B29" s="334"/>
      <c r="C29" s="335"/>
      <c r="D29" s="334"/>
      <c r="E29" s="334"/>
      <c r="F29" s="334"/>
      <c r="G29" s="335"/>
      <c r="H29" s="334"/>
      <c r="I29" s="328"/>
      <c r="J29" s="336"/>
      <c r="K29" s="336"/>
    </row>
    <row r="30" spans="1:11" s="267" customFormat="1" ht="15" x14ac:dyDescent="0.3">
      <c r="A30" s="333" t="s">
        <v>165</v>
      </c>
      <c r="B30" s="302"/>
      <c r="C30" s="337"/>
      <c r="D30" s="302"/>
      <c r="E30" s="302"/>
      <c r="F30" s="302"/>
      <c r="G30" s="337"/>
      <c r="H30" s="302"/>
      <c r="I30" s="328"/>
      <c r="J30" s="328"/>
      <c r="K30" s="328"/>
    </row>
    <row r="31" spans="1:11" s="267" customFormat="1" ht="15" x14ac:dyDescent="0.3">
      <c r="A31" s="94" t="s">
        <v>166</v>
      </c>
      <c r="B31" s="338">
        <v>43366826.000000007</v>
      </c>
      <c r="C31" s="327">
        <f>B31/$B$36</f>
        <v>2.2828695418549875E-2</v>
      </c>
      <c r="D31" s="338">
        <v>115281</v>
      </c>
      <c r="E31" s="338">
        <v>46946</v>
      </c>
      <c r="F31" s="338">
        <f t="shared" ref="F31:F33" si="5">D31+E31</f>
        <v>162227</v>
      </c>
      <c r="G31" s="327">
        <f>F31/$F$36</f>
        <v>1.4065153387576685E-3</v>
      </c>
      <c r="H31" s="338">
        <f t="shared" ref="H31:H33" si="6">B31+F31</f>
        <v>43529053.000000007</v>
      </c>
      <c r="I31" s="328">
        <f>H31/$H$36</f>
        <v>2.1602480133115151E-2</v>
      </c>
      <c r="J31" s="328">
        <v>2.4202239990809709E-2</v>
      </c>
      <c r="K31" s="328">
        <v>2.6702252895080911E-2</v>
      </c>
    </row>
    <row r="32" spans="1:11" s="267" customFormat="1" ht="15" x14ac:dyDescent="0.3">
      <c r="A32" s="94" t="s">
        <v>167</v>
      </c>
      <c r="B32" s="302">
        <v>181127328.30072653</v>
      </c>
      <c r="C32" s="327">
        <f>B32/$B$36</f>
        <v>9.534708880361624E-2</v>
      </c>
      <c r="D32" s="302">
        <v>8877930.4999994542</v>
      </c>
      <c r="E32" s="302">
        <v>103294836.59952855</v>
      </c>
      <c r="F32" s="302">
        <f t="shared" si="5"/>
        <v>112172767.099528</v>
      </c>
      <c r="G32" s="327">
        <f>F32/$F$36</f>
        <v>0.97254290294696732</v>
      </c>
      <c r="H32" s="302">
        <f t="shared" si="6"/>
        <v>293300095.40025455</v>
      </c>
      <c r="I32" s="328">
        <f>H32/$H$36</f>
        <v>0.14555817430544093</v>
      </c>
      <c r="J32" s="328">
        <v>0.13216885402087791</v>
      </c>
      <c r="K32" s="328">
        <v>0.12671714267155751</v>
      </c>
    </row>
    <row r="33" spans="1:17" s="267" customFormat="1" ht="15" x14ac:dyDescent="0.3">
      <c r="A33" s="280" t="s">
        <v>197</v>
      </c>
      <c r="B33" s="330">
        <v>180828732.16</v>
      </c>
      <c r="C33" s="331">
        <f>B33/$B$36</f>
        <v>9.5189905053304422E-2</v>
      </c>
      <c r="D33" s="330">
        <v>344139.08</v>
      </c>
      <c r="E33" s="330">
        <v>322455.82</v>
      </c>
      <c r="F33" s="330">
        <f t="shared" si="5"/>
        <v>666594.9</v>
      </c>
      <c r="G33" s="331">
        <f>F33/$F$36</f>
        <v>5.7794075683310067E-3</v>
      </c>
      <c r="H33" s="330">
        <f t="shared" si="6"/>
        <v>181495327.06</v>
      </c>
      <c r="I33" s="332">
        <f>H33/$H$36</f>
        <v>9.0072007701773024E-2</v>
      </c>
      <c r="J33" s="332">
        <v>7.9338722014151458E-2</v>
      </c>
      <c r="K33" s="332">
        <v>6.6511458564553871E-2</v>
      </c>
    </row>
    <row r="34" spans="1:17" s="267" customFormat="1" ht="15" x14ac:dyDescent="0.3">
      <c r="A34" s="333" t="s">
        <v>168</v>
      </c>
      <c r="B34" s="334">
        <f>SUM(B31:B33)</f>
        <v>405322886.4607265</v>
      </c>
      <c r="C34" s="335">
        <f>B34/$B$36</f>
        <v>0.2133656892754705</v>
      </c>
      <c r="D34" s="334">
        <f t="shared" ref="D34:H34" si="7">SUM(D31:D33)</f>
        <v>9337350.5799994543</v>
      </c>
      <c r="E34" s="334">
        <f t="shared" si="7"/>
        <v>103664238.41952854</v>
      </c>
      <c r="F34" s="334">
        <f t="shared" si="7"/>
        <v>113001588.99952801</v>
      </c>
      <c r="G34" s="335">
        <f>F34/$F$36</f>
        <v>0.97972882585405607</v>
      </c>
      <c r="H34" s="334">
        <f t="shared" si="7"/>
        <v>518324475.46025455</v>
      </c>
      <c r="I34" s="336">
        <f>H34/$H$36</f>
        <v>0.25723266214032908</v>
      </c>
      <c r="J34" s="336">
        <v>0.23570981602583907</v>
      </c>
      <c r="K34" s="336">
        <v>0.21993085413119229</v>
      </c>
    </row>
    <row r="35" spans="1:17" s="267" customFormat="1" ht="15" x14ac:dyDescent="0.3">
      <c r="A35" s="333"/>
      <c r="B35" s="334"/>
      <c r="C35" s="335"/>
      <c r="D35" s="334"/>
      <c r="E35" s="334"/>
      <c r="F35" s="334"/>
      <c r="G35" s="335"/>
      <c r="H35" s="334"/>
      <c r="I35" s="336"/>
      <c r="J35" s="336"/>
      <c r="K35" s="336"/>
    </row>
    <row r="36" spans="1:17" s="82" customFormat="1" ht="15" x14ac:dyDescent="0.3">
      <c r="A36" s="339" t="s">
        <v>169</v>
      </c>
      <c r="B36" s="334">
        <f>B28+B34</f>
        <v>1899662911.3007264</v>
      </c>
      <c r="C36" s="335">
        <f>B36/$B$36</f>
        <v>1</v>
      </c>
      <c r="D36" s="334">
        <f t="shared" ref="D36:H36" si="8">D28+D34</f>
        <v>11481404.049999455</v>
      </c>
      <c r="E36" s="334">
        <f t="shared" si="8"/>
        <v>103858255.26952854</v>
      </c>
      <c r="F36" s="334">
        <f t="shared" si="8"/>
        <v>115339659.319528</v>
      </c>
      <c r="G36" s="335">
        <f>F36/$F$36</f>
        <v>1</v>
      </c>
      <c r="H36" s="334">
        <f t="shared" si="8"/>
        <v>2015002570.6202545</v>
      </c>
      <c r="I36" s="336">
        <f>H36/$H$36</f>
        <v>1</v>
      </c>
      <c r="J36" s="336"/>
      <c r="K36" s="336"/>
    </row>
    <row r="37" spans="1:17" s="82" customFormat="1" ht="15" x14ac:dyDescent="0.3">
      <c r="A37" s="339"/>
      <c r="B37" s="334"/>
      <c r="C37" s="335"/>
      <c r="D37" s="334"/>
      <c r="E37" s="334"/>
      <c r="F37" s="334"/>
      <c r="G37" s="335"/>
      <c r="H37" s="334"/>
      <c r="I37" s="336"/>
      <c r="J37" s="336"/>
      <c r="K37" s="336"/>
    </row>
    <row r="38" spans="1:17" s="82" customFormat="1" ht="15" x14ac:dyDescent="0.3">
      <c r="A38" s="135" t="s">
        <v>219</v>
      </c>
      <c r="B38" s="81">
        <v>189985</v>
      </c>
      <c r="C38" s="344"/>
      <c r="D38" s="81">
        <v>16776</v>
      </c>
      <c r="E38" s="81">
        <v>356</v>
      </c>
      <c r="F38" s="81">
        <f>D38+E38</f>
        <v>17132</v>
      </c>
      <c r="G38" s="81"/>
      <c r="H38" s="81">
        <f>B38+F38</f>
        <v>207117</v>
      </c>
      <c r="I38" s="81"/>
      <c r="J38" s="345"/>
      <c r="K38" s="345"/>
    </row>
    <row r="39" spans="1:17" s="267" customFormat="1" ht="15" x14ac:dyDescent="0.3">
      <c r="A39" s="346" t="s">
        <v>220</v>
      </c>
      <c r="B39" s="334">
        <f>B36/B38</f>
        <v>9999.0152448915778</v>
      </c>
      <c r="C39" s="347"/>
      <c r="D39" s="334">
        <f t="shared" ref="D39:H39" si="9">D36/D38</f>
        <v>684.39461432996279</v>
      </c>
      <c r="E39" s="334">
        <f t="shared" si="9"/>
        <v>291736.67210541724</v>
      </c>
      <c r="F39" s="334">
        <f t="shared" si="9"/>
        <v>6732.4106537198222</v>
      </c>
      <c r="G39" s="334"/>
      <c r="H39" s="334">
        <f t="shared" si="9"/>
        <v>9728.8130410360063</v>
      </c>
      <c r="I39" s="348"/>
      <c r="J39" s="349"/>
      <c r="K39" s="345"/>
    </row>
    <row r="40" spans="1:17" s="267" customFormat="1" ht="15" x14ac:dyDescent="0.3">
      <c r="A40" s="346"/>
      <c r="B40" s="334"/>
      <c r="C40" s="347"/>
      <c r="D40" s="334"/>
      <c r="E40" s="334"/>
      <c r="F40" s="334"/>
      <c r="G40" s="334"/>
      <c r="H40" s="334"/>
      <c r="I40" s="348"/>
      <c r="J40" s="349"/>
      <c r="K40" s="345"/>
    </row>
    <row r="41" spans="1:17" s="267" customFormat="1" ht="15" x14ac:dyDescent="0.3">
      <c r="B41" s="343"/>
      <c r="C41" s="341"/>
      <c r="D41" s="342"/>
      <c r="E41" s="343"/>
      <c r="F41" s="342"/>
      <c r="G41" s="343"/>
      <c r="H41" s="343"/>
      <c r="I41" s="343"/>
      <c r="J41" s="343"/>
      <c r="K41" s="343"/>
    </row>
    <row r="42" spans="1:17" s="55" customFormat="1" ht="13.5" x14ac:dyDescent="0.3">
      <c r="A42" s="350" t="s">
        <v>221</v>
      </c>
      <c r="B42" s="351"/>
      <c r="C42" s="352"/>
      <c r="D42" s="351"/>
      <c r="E42" s="137"/>
      <c r="F42" s="137"/>
      <c r="G42" s="137"/>
      <c r="H42" s="138"/>
      <c r="I42" s="139"/>
      <c r="J42" s="140"/>
      <c r="K42" s="141"/>
    </row>
    <row r="43" spans="1:17" s="128" customFormat="1" ht="12" customHeight="1" x14ac:dyDescent="0.3">
      <c r="A43" s="457" t="s">
        <v>186</v>
      </c>
      <c r="B43" s="458"/>
      <c r="C43" s="458"/>
      <c r="D43" s="458"/>
      <c r="E43" s="458"/>
      <c r="F43" s="458"/>
      <c r="G43" s="458"/>
      <c r="H43" s="458"/>
      <c r="I43" s="458"/>
      <c r="J43" s="458"/>
      <c r="K43" s="458"/>
      <c r="L43" s="458"/>
      <c r="M43" s="458"/>
      <c r="N43" s="127"/>
      <c r="O43" s="127"/>
      <c r="P43" s="127"/>
    </row>
    <row r="44" spans="1:17" s="128" customFormat="1" ht="12" customHeight="1" x14ac:dyDescent="0.3">
      <c r="A44" s="243"/>
      <c r="B44" s="244"/>
      <c r="C44" s="244"/>
      <c r="D44" s="244"/>
      <c r="E44" s="244"/>
      <c r="F44" s="244"/>
      <c r="G44" s="244"/>
      <c r="H44" s="244"/>
      <c r="I44" s="244"/>
      <c r="J44" s="244"/>
      <c r="K44" s="244"/>
      <c r="L44" s="244"/>
      <c r="M44" s="244"/>
      <c r="N44" s="127"/>
      <c r="O44" s="127"/>
      <c r="P44" s="127"/>
    </row>
    <row r="45" spans="1:17" s="128" customFormat="1" ht="14.25" x14ac:dyDescent="0.3">
      <c r="A45" s="132" t="s">
        <v>187</v>
      </c>
      <c r="B45" s="142"/>
      <c r="C45" s="143"/>
      <c r="D45" s="142"/>
      <c r="E45" s="142"/>
      <c r="F45" s="142"/>
      <c r="G45" s="142"/>
      <c r="H45" s="142"/>
      <c r="I45" s="142"/>
      <c r="J45" s="142"/>
      <c r="K45" s="142"/>
      <c r="L45" s="144"/>
      <c r="M45" s="144"/>
      <c r="N45" s="144"/>
      <c r="O45" s="144"/>
      <c r="P45" s="144"/>
      <c r="Q45" s="144"/>
    </row>
    <row r="46" spans="1:17" s="128" customFormat="1" ht="14.25" x14ac:dyDescent="0.3">
      <c r="A46" s="132"/>
      <c r="B46" s="142"/>
      <c r="C46" s="143"/>
      <c r="D46" s="142"/>
      <c r="E46" s="142"/>
      <c r="F46" s="142"/>
      <c r="G46" s="142"/>
      <c r="H46" s="142"/>
      <c r="I46" s="142"/>
      <c r="J46" s="142"/>
      <c r="K46" s="142"/>
      <c r="L46" s="144"/>
      <c r="M46" s="144"/>
      <c r="N46" s="144"/>
      <c r="O46" s="144"/>
      <c r="P46" s="144"/>
      <c r="Q46" s="144"/>
    </row>
    <row r="47" spans="1:17" s="84" customFormat="1" ht="13.5" x14ac:dyDescent="0.3">
      <c r="B47" s="353"/>
      <c r="C47" s="354"/>
      <c r="D47" s="355"/>
      <c r="E47" s="356"/>
      <c r="F47" s="353"/>
      <c r="G47" s="353"/>
      <c r="H47" s="353"/>
      <c r="I47" s="353"/>
      <c r="J47" s="353"/>
      <c r="K47" s="353"/>
    </row>
  </sheetData>
  <mergeCells count="5">
    <mergeCell ref="A1:K1"/>
    <mergeCell ref="A2:K2"/>
    <mergeCell ref="A3:K3"/>
    <mergeCell ref="A4:K4"/>
    <mergeCell ref="A43:M43"/>
  </mergeCells>
  <pageMargins left="0.7" right="0.7" top="0.75" bottom="0.75" header="0.3" footer="0.3"/>
  <pageSetup orientation="portrait" horizontalDpi="4294967293" verticalDpi="0" r:id="rId1"/>
  <ignoredErrors>
    <ignoredError sqref="C34:C36 G34:G36 C28:G2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Table3 Providers</vt:lpstr>
      <vt:lpstr>Table 4 Sources</vt:lpstr>
      <vt:lpstr>Table 5 Expenditure History</vt:lpstr>
      <vt:lpstr>Table 6 Eligibility History</vt:lpstr>
      <vt:lpstr>Table 7 Elig. &amp; Prgm Payments</vt:lpstr>
      <vt:lpstr>Table 8 Expenditure</vt:lpstr>
      <vt:lpstr>Table 9 Exp by Recip Grp</vt:lpstr>
      <vt:lpstr>Table10_Prog_Exp_by_Prog_Categ</vt:lpstr>
      <vt:lpstr>TABLE11_Prog_Exp_for_Elderly</vt:lpstr>
      <vt:lpstr>TABLE12_Prog_Exp_Blind_Disabled</vt:lpstr>
      <vt:lpstr>Table 13 Exp for Fam. &amp; Child.</vt:lpstr>
      <vt:lpstr>Table 14 Exp MedSol,Alien,adju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Emad Attiah</dc:creator>
  <cp:lastModifiedBy>Larry Mull</cp:lastModifiedBy>
  <dcterms:created xsi:type="dcterms:W3CDTF">2017-07-13T18:49:33Z</dcterms:created>
  <dcterms:modified xsi:type="dcterms:W3CDTF">2017-11-01T18:17:54Z</dcterms:modified>
</cp:coreProperties>
</file>