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mc:AlternateContent xmlns:mc="http://schemas.openxmlformats.org/markup-compatibility/2006">
    <mc:Choice Requires="x15">
      <x15ac:absPath xmlns:x15ac="http://schemas.microsoft.com/office/spreadsheetml/2010/11/ac" url="K:\Data Requests\Doro Schmid\2019-6452-SFY 2018 Annual Tables Report\SFY 2018 Annual Tables\"/>
    </mc:Choice>
  </mc:AlternateContent>
  <xr:revisionPtr revIDLastSave="0" documentId="8_{32042B4F-A30B-466F-91E0-113F85DA8F25}" xr6:coauthVersionLast="31" xr6:coauthVersionMax="31" xr10:uidLastSave="{00000000-0000-0000-0000-000000000000}"/>
  <bookViews>
    <workbookView xWindow="0" yWindow="0" windowWidth="19200" windowHeight="10935" xr2:uid="{00000000-000D-0000-FFFF-FFFF00000000}"/>
  </bookViews>
  <sheets>
    <sheet name="Table 3 Providers" sheetId="10" r:id="rId1"/>
    <sheet name="Table 4 Sources" sheetId="13" r:id="rId2"/>
    <sheet name="Table 5 Pgrm &amp; Admin Expend" sheetId="14" r:id="rId3"/>
    <sheet name="Table 6 Eligibility History" sheetId="9" r:id="rId4"/>
    <sheet name="Table 7 Elig. &amp; Prgm Payments" sheetId="15" r:id="rId5"/>
    <sheet name="Table 8 Exp by Type of Service" sheetId="5" r:id="rId6"/>
    <sheet name="Table 9 Exp by Eligibility Grp" sheetId="16" r:id="rId7"/>
    <sheet name="Table 10 Exp by Service Categ" sheetId="1" r:id="rId8"/>
    <sheet name="Table 11 Exp for Elderly" sheetId="2" r:id="rId9"/>
    <sheet name="Table 12 Exp Blind Disabled" sheetId="3" r:id="rId10"/>
    <sheet name="Table 13 Exp for Fam. &amp; Child." sheetId="4" r:id="rId11"/>
    <sheet name="Table 14 Exp MedSol,Alien,adju" sheetId="8" r:id="rId12"/>
  </sheets>
  <definedNames>
    <definedName name="_xlnm._FilterDatabase" localSheetId="4" hidden="1">'Table 7 Elig. &amp; Prgm Payments'!$A$6:$BE$107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13" l="1"/>
  <c r="B39" i="5" l="1"/>
  <c r="E7" i="16" l="1"/>
  <c r="E23" i="16" l="1"/>
  <c r="G23" i="16" s="1"/>
  <c r="B21" i="16"/>
  <c r="E20" i="16"/>
  <c r="G20" i="16" s="1"/>
  <c r="E19" i="16"/>
  <c r="G19" i="16" s="1"/>
  <c r="E18" i="16"/>
  <c r="G18" i="16" s="1"/>
  <c r="E17" i="16"/>
  <c r="G17" i="16" s="1"/>
  <c r="E16" i="16"/>
  <c r="G16" i="16" s="1"/>
  <c r="E15" i="16"/>
  <c r="G15" i="16" s="1"/>
  <c r="B13" i="16"/>
  <c r="E12" i="16"/>
  <c r="G12" i="16" s="1"/>
  <c r="E11" i="16"/>
  <c r="G11" i="16" s="1"/>
  <c r="B9" i="16"/>
  <c r="E8" i="16"/>
  <c r="G8" i="16" s="1"/>
  <c r="G7" i="16"/>
  <c r="D109" i="15"/>
  <c r="C109" i="15"/>
  <c r="B109" i="15"/>
  <c r="I106" i="15"/>
  <c r="H106" i="15"/>
  <c r="F106" i="15"/>
  <c r="E106" i="15"/>
  <c r="I105" i="15"/>
  <c r="H105" i="15"/>
  <c r="F105" i="15"/>
  <c r="E105" i="15"/>
  <c r="I104" i="15"/>
  <c r="H104" i="15"/>
  <c r="F104" i="15"/>
  <c r="E104" i="15"/>
  <c r="I103" i="15"/>
  <c r="H103" i="15"/>
  <c r="F103" i="15"/>
  <c r="E103" i="15"/>
  <c r="I102" i="15"/>
  <c r="H102" i="15"/>
  <c r="F102" i="15"/>
  <c r="E102" i="15"/>
  <c r="I101" i="15"/>
  <c r="H101" i="15"/>
  <c r="F101" i="15"/>
  <c r="E101" i="15"/>
  <c r="I100" i="15"/>
  <c r="H100" i="15"/>
  <c r="F100" i="15"/>
  <c r="E100" i="15"/>
  <c r="I99" i="15"/>
  <c r="H99" i="15"/>
  <c r="F99" i="15"/>
  <c r="E99" i="15"/>
  <c r="I98" i="15"/>
  <c r="H98" i="15"/>
  <c r="F98" i="15"/>
  <c r="E98" i="15"/>
  <c r="I97" i="15"/>
  <c r="H97" i="15"/>
  <c r="F97" i="15"/>
  <c r="E97" i="15"/>
  <c r="I96" i="15"/>
  <c r="H96" i="15"/>
  <c r="F96" i="15"/>
  <c r="E96" i="15"/>
  <c r="I95" i="15"/>
  <c r="H95" i="15"/>
  <c r="F95" i="15"/>
  <c r="E95" i="15"/>
  <c r="I94" i="15"/>
  <c r="H94" i="15"/>
  <c r="F94" i="15"/>
  <c r="E94" i="15"/>
  <c r="I93" i="15"/>
  <c r="H93" i="15"/>
  <c r="F93" i="15"/>
  <c r="E93" i="15"/>
  <c r="I92" i="15"/>
  <c r="H92" i="15"/>
  <c r="F92" i="15"/>
  <c r="E92" i="15"/>
  <c r="I91" i="15"/>
  <c r="H91" i="15"/>
  <c r="F91" i="15"/>
  <c r="E91" i="15"/>
  <c r="I90" i="15"/>
  <c r="H90" i="15"/>
  <c r="F90" i="15"/>
  <c r="E90" i="15"/>
  <c r="I89" i="15"/>
  <c r="H89" i="15"/>
  <c r="F89" i="15"/>
  <c r="E89" i="15"/>
  <c r="I88" i="15"/>
  <c r="H88" i="15"/>
  <c r="F88" i="15"/>
  <c r="E88" i="15"/>
  <c r="I87" i="15"/>
  <c r="H87" i="15"/>
  <c r="F87" i="15"/>
  <c r="E87" i="15"/>
  <c r="I86" i="15"/>
  <c r="H86" i="15"/>
  <c r="F86" i="15"/>
  <c r="E86" i="15"/>
  <c r="I85" i="15"/>
  <c r="H85" i="15"/>
  <c r="F85" i="15"/>
  <c r="E85" i="15"/>
  <c r="I84" i="15"/>
  <c r="H84" i="15"/>
  <c r="F84" i="15"/>
  <c r="E84" i="15"/>
  <c r="I83" i="15"/>
  <c r="H83" i="15"/>
  <c r="F83" i="15"/>
  <c r="E83" i="15"/>
  <c r="I82" i="15"/>
  <c r="H82" i="15"/>
  <c r="F82" i="15"/>
  <c r="E82" i="15"/>
  <c r="I81" i="15"/>
  <c r="H81" i="15"/>
  <c r="F81" i="15"/>
  <c r="E81" i="15"/>
  <c r="I80" i="15"/>
  <c r="H80" i="15"/>
  <c r="F80" i="15"/>
  <c r="E80" i="15"/>
  <c r="I79" i="15"/>
  <c r="H79" i="15"/>
  <c r="F79" i="15"/>
  <c r="E79" i="15"/>
  <c r="I78" i="15"/>
  <c r="H78" i="15"/>
  <c r="F78" i="15"/>
  <c r="E78" i="15"/>
  <c r="I77" i="15"/>
  <c r="H77" i="15"/>
  <c r="F77" i="15"/>
  <c r="E77" i="15"/>
  <c r="I76" i="15"/>
  <c r="H76" i="15"/>
  <c r="F76" i="15"/>
  <c r="E76" i="15"/>
  <c r="I75" i="15"/>
  <c r="H75" i="15"/>
  <c r="F75" i="15"/>
  <c r="E75" i="15"/>
  <c r="I74" i="15"/>
  <c r="H74" i="15"/>
  <c r="F74" i="15"/>
  <c r="E74" i="15"/>
  <c r="I73" i="15"/>
  <c r="H73" i="15"/>
  <c r="F73" i="15"/>
  <c r="E73" i="15"/>
  <c r="I72" i="15"/>
  <c r="H72" i="15"/>
  <c r="F72" i="15"/>
  <c r="E72" i="15"/>
  <c r="I71" i="15"/>
  <c r="H71" i="15"/>
  <c r="F71" i="15"/>
  <c r="E71" i="15"/>
  <c r="I70" i="15"/>
  <c r="H70" i="15"/>
  <c r="F70" i="15"/>
  <c r="E70" i="15"/>
  <c r="I69" i="15"/>
  <c r="H69" i="15"/>
  <c r="F69" i="15"/>
  <c r="E69" i="15"/>
  <c r="I68" i="15"/>
  <c r="H68" i="15"/>
  <c r="F68" i="15"/>
  <c r="E68" i="15"/>
  <c r="I67" i="15"/>
  <c r="H67" i="15"/>
  <c r="F67" i="15"/>
  <c r="E67" i="15"/>
  <c r="I66" i="15"/>
  <c r="H66" i="15"/>
  <c r="F66" i="15"/>
  <c r="E66" i="15"/>
  <c r="I65" i="15"/>
  <c r="H65" i="15"/>
  <c r="F65" i="15"/>
  <c r="E65" i="15"/>
  <c r="I64" i="15"/>
  <c r="H64" i="15"/>
  <c r="F64" i="15"/>
  <c r="E64" i="15"/>
  <c r="I63" i="15"/>
  <c r="H63" i="15"/>
  <c r="F63" i="15"/>
  <c r="E63" i="15"/>
  <c r="I62" i="15"/>
  <c r="H62" i="15"/>
  <c r="F62" i="15"/>
  <c r="E62" i="15"/>
  <c r="I61" i="15"/>
  <c r="H61" i="15"/>
  <c r="F61" i="15"/>
  <c r="E61" i="15"/>
  <c r="I60" i="15"/>
  <c r="H60" i="15"/>
  <c r="F60" i="15"/>
  <c r="E60" i="15"/>
  <c r="I59" i="15"/>
  <c r="H59" i="15"/>
  <c r="F59" i="15"/>
  <c r="E59" i="15"/>
  <c r="I58" i="15"/>
  <c r="H58" i="15"/>
  <c r="F58" i="15"/>
  <c r="E58" i="15"/>
  <c r="I57" i="15"/>
  <c r="H57" i="15"/>
  <c r="F57" i="15"/>
  <c r="E57" i="15"/>
  <c r="I56" i="15"/>
  <c r="H56" i="15"/>
  <c r="F56" i="15"/>
  <c r="E56" i="15"/>
  <c r="I55" i="15"/>
  <c r="H55" i="15"/>
  <c r="F55" i="15"/>
  <c r="E55" i="15"/>
  <c r="I54" i="15"/>
  <c r="H54" i="15"/>
  <c r="F54" i="15"/>
  <c r="E54" i="15"/>
  <c r="I53" i="15"/>
  <c r="H53" i="15"/>
  <c r="F53" i="15"/>
  <c r="E53" i="15"/>
  <c r="I52" i="15"/>
  <c r="H52" i="15"/>
  <c r="F52" i="15"/>
  <c r="E52" i="15"/>
  <c r="I51" i="15"/>
  <c r="H51" i="15"/>
  <c r="F51" i="15"/>
  <c r="E51" i="15"/>
  <c r="I50" i="15"/>
  <c r="H50" i="15"/>
  <c r="F50" i="15"/>
  <c r="E50" i="15"/>
  <c r="I49" i="15"/>
  <c r="H49" i="15"/>
  <c r="F49" i="15"/>
  <c r="E49" i="15"/>
  <c r="I48" i="15"/>
  <c r="H48" i="15"/>
  <c r="F48" i="15"/>
  <c r="E48" i="15"/>
  <c r="I47" i="15"/>
  <c r="H47" i="15"/>
  <c r="F47" i="15"/>
  <c r="E47" i="15"/>
  <c r="I46" i="15"/>
  <c r="H46" i="15"/>
  <c r="F46" i="15"/>
  <c r="E46" i="15"/>
  <c r="I45" i="15"/>
  <c r="H45" i="15"/>
  <c r="F45" i="15"/>
  <c r="E45" i="15"/>
  <c r="I44" i="15"/>
  <c r="H44" i="15"/>
  <c r="F44" i="15"/>
  <c r="E44" i="15"/>
  <c r="I43" i="15"/>
  <c r="H43" i="15"/>
  <c r="F43" i="15"/>
  <c r="E43" i="15"/>
  <c r="I42" i="15"/>
  <c r="H42" i="15"/>
  <c r="F42" i="15"/>
  <c r="E42" i="15"/>
  <c r="I41" i="15"/>
  <c r="H41" i="15"/>
  <c r="F41" i="15"/>
  <c r="E41" i="15"/>
  <c r="I40" i="15"/>
  <c r="H40" i="15"/>
  <c r="F40" i="15"/>
  <c r="E40" i="15"/>
  <c r="I39" i="15"/>
  <c r="H39" i="15"/>
  <c r="F39" i="15"/>
  <c r="E39" i="15"/>
  <c r="I38" i="15"/>
  <c r="H38" i="15"/>
  <c r="F38" i="15"/>
  <c r="E38" i="15"/>
  <c r="I37" i="15"/>
  <c r="H37" i="15"/>
  <c r="F37" i="15"/>
  <c r="E37" i="15"/>
  <c r="I36" i="15"/>
  <c r="H36" i="15"/>
  <c r="F36" i="15"/>
  <c r="E36" i="15"/>
  <c r="I35" i="15"/>
  <c r="H35" i="15"/>
  <c r="F35" i="15"/>
  <c r="E35" i="15"/>
  <c r="I34" i="15"/>
  <c r="H34" i="15"/>
  <c r="F34" i="15"/>
  <c r="E34" i="15"/>
  <c r="I33" i="15"/>
  <c r="H33" i="15"/>
  <c r="F33" i="15"/>
  <c r="E33" i="15"/>
  <c r="I32" i="15"/>
  <c r="H32" i="15"/>
  <c r="F32" i="15"/>
  <c r="E32" i="15"/>
  <c r="I31" i="15"/>
  <c r="H31" i="15"/>
  <c r="F31" i="15"/>
  <c r="E31" i="15"/>
  <c r="I30" i="15"/>
  <c r="H30" i="15"/>
  <c r="F30" i="15"/>
  <c r="E30" i="15"/>
  <c r="I29" i="15"/>
  <c r="H29" i="15"/>
  <c r="F29" i="15"/>
  <c r="E29" i="15"/>
  <c r="I28" i="15"/>
  <c r="H28" i="15"/>
  <c r="F28" i="15"/>
  <c r="E28" i="15"/>
  <c r="I27" i="15"/>
  <c r="H27" i="15"/>
  <c r="F27" i="15"/>
  <c r="E27" i="15"/>
  <c r="I26" i="15"/>
  <c r="H26" i="15"/>
  <c r="F26" i="15"/>
  <c r="E26" i="15"/>
  <c r="I25" i="15"/>
  <c r="H25" i="15"/>
  <c r="F25" i="15"/>
  <c r="E25" i="15"/>
  <c r="I24" i="15"/>
  <c r="H24" i="15"/>
  <c r="F24" i="15"/>
  <c r="E24" i="15"/>
  <c r="I23" i="15"/>
  <c r="H23" i="15"/>
  <c r="F23" i="15"/>
  <c r="E23" i="15"/>
  <c r="I22" i="15"/>
  <c r="H22" i="15"/>
  <c r="F22" i="15"/>
  <c r="E22" i="15"/>
  <c r="I21" i="15"/>
  <c r="H21" i="15"/>
  <c r="F21" i="15"/>
  <c r="E21" i="15"/>
  <c r="I20" i="15"/>
  <c r="H20" i="15"/>
  <c r="F20" i="15"/>
  <c r="E20" i="15"/>
  <c r="I19" i="15"/>
  <c r="H19" i="15"/>
  <c r="F19" i="15"/>
  <c r="E19" i="15"/>
  <c r="I18" i="15"/>
  <c r="H18" i="15"/>
  <c r="F18" i="15"/>
  <c r="E18" i="15"/>
  <c r="I17" i="15"/>
  <c r="H17" i="15"/>
  <c r="F17" i="15"/>
  <c r="E17" i="15"/>
  <c r="I16" i="15"/>
  <c r="H16" i="15"/>
  <c r="F16" i="15"/>
  <c r="E16" i="15"/>
  <c r="I15" i="15"/>
  <c r="H15" i="15"/>
  <c r="F15" i="15"/>
  <c r="E15" i="15"/>
  <c r="I14" i="15"/>
  <c r="H14" i="15"/>
  <c r="F14" i="15"/>
  <c r="E14" i="15"/>
  <c r="I13" i="15"/>
  <c r="H13" i="15"/>
  <c r="F13" i="15"/>
  <c r="E13" i="15"/>
  <c r="I12" i="15"/>
  <c r="H12" i="15"/>
  <c r="F12" i="15"/>
  <c r="E12" i="15"/>
  <c r="I11" i="15"/>
  <c r="H11" i="15"/>
  <c r="F11" i="15"/>
  <c r="E11" i="15"/>
  <c r="I10" i="15"/>
  <c r="H10" i="15"/>
  <c r="F10" i="15"/>
  <c r="E10" i="15"/>
  <c r="I9" i="15"/>
  <c r="H9" i="15"/>
  <c r="F9" i="15"/>
  <c r="E9" i="15"/>
  <c r="I8" i="15"/>
  <c r="H8" i="15"/>
  <c r="F8" i="15"/>
  <c r="E8" i="15"/>
  <c r="I7" i="15"/>
  <c r="H7" i="15"/>
  <c r="F7" i="15"/>
  <c r="E7" i="15"/>
  <c r="B25" i="16" l="1"/>
  <c r="C20" i="16" s="1"/>
  <c r="C21" i="16" l="1"/>
  <c r="C12" i="16"/>
  <c r="C23" i="16"/>
  <c r="C13" i="16"/>
  <c r="E25" i="16"/>
  <c r="G25" i="16" s="1"/>
  <c r="C7" i="16"/>
  <c r="C8" i="16"/>
  <c r="C16" i="16"/>
  <c r="C15" i="16"/>
  <c r="C19" i="16"/>
  <c r="C18" i="16"/>
  <c r="C11" i="16"/>
  <c r="C9" i="16"/>
  <c r="C17" i="16"/>
  <c r="C25" i="16" l="1"/>
  <c r="I17" i="14"/>
  <c r="F17" i="14" s="1"/>
  <c r="I16" i="14"/>
  <c r="J17" i="14" s="1"/>
  <c r="B16" i="14"/>
  <c r="C16" i="14" s="1"/>
  <c r="I15" i="14"/>
  <c r="J15" i="14" s="1"/>
  <c r="F15" i="14"/>
  <c r="G15" i="14" s="1"/>
  <c r="B15" i="14"/>
  <c r="C15" i="14" s="1"/>
  <c r="J14" i="14"/>
  <c r="G14" i="14"/>
  <c r="F14" i="14"/>
  <c r="C14" i="14"/>
  <c r="J13" i="14"/>
  <c r="G13" i="14"/>
  <c r="F13" i="14"/>
  <c r="C13" i="14"/>
  <c r="F12" i="14"/>
  <c r="C12" i="14"/>
  <c r="I11" i="14"/>
  <c r="J12" i="14" s="1"/>
  <c r="C11" i="14"/>
  <c r="J10" i="14"/>
  <c r="I10" i="14"/>
  <c r="F10" i="14"/>
  <c r="C10" i="14"/>
  <c r="I9" i="14"/>
  <c r="J9" i="14" s="1"/>
  <c r="F9" i="14"/>
  <c r="G9" i="14" s="1"/>
  <c r="C9" i="14"/>
  <c r="J8" i="14"/>
  <c r="I8" i="14"/>
  <c r="F8" i="14" s="1"/>
  <c r="G8" i="14" s="1"/>
  <c r="C8" i="14"/>
  <c r="I7" i="14"/>
  <c r="F7" i="14"/>
  <c r="G16" i="13"/>
  <c r="E16" i="13"/>
  <c r="J15" i="13"/>
  <c r="J14" i="13"/>
  <c r="E14" i="13"/>
  <c r="J13" i="13"/>
  <c r="E13" i="13"/>
  <c r="B13" i="13"/>
  <c r="G11" i="13"/>
  <c r="G15" i="13" s="1"/>
  <c r="F11" i="13"/>
  <c r="F16" i="13" s="1"/>
  <c r="B11" i="13"/>
  <c r="H10" i="13"/>
  <c r="D10" i="13"/>
  <c r="D16" i="13" s="1"/>
  <c r="C10" i="13"/>
  <c r="C16" i="13" s="1"/>
  <c r="B10" i="13"/>
  <c r="B16" i="13" s="1"/>
  <c r="I9" i="13"/>
  <c r="H9" i="13"/>
  <c r="E9" i="13"/>
  <c r="E15" i="13" s="1"/>
  <c r="I8" i="13"/>
  <c r="H8" i="13"/>
  <c r="D8" i="13"/>
  <c r="D14" i="13" s="1"/>
  <c r="C8" i="13"/>
  <c r="C14" i="13" s="1"/>
  <c r="B8" i="13"/>
  <c r="B14" i="13" s="1"/>
  <c r="I7" i="13"/>
  <c r="H7" i="13"/>
  <c r="D7" i="13"/>
  <c r="D9" i="13" s="1"/>
  <c r="D15" i="13" s="1"/>
  <c r="C7" i="13"/>
  <c r="C9" i="13" s="1"/>
  <c r="C15" i="13" s="1"/>
  <c r="B7" i="13"/>
  <c r="G10" i="14" l="1"/>
  <c r="F11" i="14"/>
  <c r="F16" i="14"/>
  <c r="G16" i="14" s="1"/>
  <c r="C17" i="14"/>
  <c r="J11" i="14"/>
  <c r="J16" i="14"/>
  <c r="I14" i="13"/>
  <c r="E17" i="13"/>
  <c r="B17" i="13"/>
  <c r="B9" i="13"/>
  <c r="B15" i="13" s="1"/>
  <c r="F13" i="13"/>
  <c r="F17" i="13" s="1"/>
  <c r="C13" i="13"/>
  <c r="C17" i="13" s="1"/>
  <c r="G13" i="13"/>
  <c r="F14" i="13"/>
  <c r="H11" i="13"/>
  <c r="D13" i="13"/>
  <c r="D17" i="13" s="1"/>
  <c r="G14" i="13"/>
  <c r="F15" i="13"/>
  <c r="I11" i="13"/>
  <c r="G12" i="14" l="1"/>
  <c r="G11" i="14"/>
  <c r="G17" i="14"/>
  <c r="J16" i="13"/>
  <c r="J17" i="13" s="1"/>
  <c r="I16" i="13"/>
  <c r="I15" i="13"/>
  <c r="H16" i="13"/>
  <c r="H15" i="13"/>
  <c r="H14" i="13"/>
  <c r="I13" i="13"/>
  <c r="G17" i="13"/>
  <c r="H13" i="13"/>
  <c r="H17" i="13" s="1"/>
  <c r="I17" i="13" l="1"/>
  <c r="D28" i="1" l="1"/>
  <c r="B34" i="8" l="1"/>
  <c r="I28" i="1" l="1"/>
  <c r="E28" i="1"/>
  <c r="F28" i="1"/>
  <c r="G28" i="1"/>
  <c r="H28" i="1"/>
  <c r="J28" i="1"/>
  <c r="K28" i="1"/>
  <c r="L28" i="1"/>
  <c r="M28" i="1"/>
  <c r="N28" i="1"/>
  <c r="O28" i="1"/>
  <c r="P28" i="1"/>
  <c r="Q28" i="1"/>
  <c r="F8" i="5" l="1"/>
  <c r="F9" i="5"/>
  <c r="F10" i="5"/>
  <c r="F11" i="5"/>
  <c r="F12" i="5"/>
  <c r="F13" i="5"/>
  <c r="F14" i="5"/>
  <c r="F15" i="5"/>
  <c r="F16" i="5"/>
  <c r="F17" i="5"/>
  <c r="F18" i="5"/>
  <c r="F19" i="5"/>
  <c r="F20" i="5"/>
  <c r="F21" i="5"/>
  <c r="F22" i="5"/>
  <c r="F23" i="5"/>
  <c r="F24" i="5"/>
  <c r="F25" i="5"/>
  <c r="F26" i="5"/>
  <c r="F27" i="5"/>
  <c r="F28" i="5"/>
  <c r="M49" i="9" l="1"/>
  <c r="L49" i="9"/>
  <c r="K49" i="9"/>
  <c r="J49" i="9"/>
  <c r="I49" i="9"/>
  <c r="H49" i="9"/>
  <c r="G49" i="9"/>
  <c r="F49" i="9"/>
  <c r="E49" i="9"/>
  <c r="D49" i="9"/>
  <c r="C49" i="9"/>
  <c r="B49" i="9"/>
  <c r="N49" i="9"/>
  <c r="D28" i="8" l="1"/>
  <c r="C28" i="8"/>
  <c r="B28" i="8"/>
  <c r="B36" i="8" l="1"/>
  <c r="B40" i="8" s="1"/>
  <c r="D34" i="8"/>
  <c r="D36" i="8" s="1"/>
  <c r="D40" i="8" s="1"/>
  <c r="C34" i="8"/>
  <c r="C36" i="8" s="1"/>
  <c r="C40" i="8" s="1"/>
  <c r="N45" i="9" l="1"/>
  <c r="N43" i="9"/>
  <c r="N42" i="9"/>
  <c r="O41" i="9"/>
  <c r="O40" i="9"/>
  <c r="O39" i="9"/>
  <c r="O38" i="9"/>
  <c r="O37" i="9"/>
  <c r="O36" i="9"/>
  <c r="E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I48" i="9" l="1"/>
  <c r="O46" i="9"/>
  <c r="O43" i="9"/>
  <c r="B48" i="9"/>
  <c r="O44" i="9"/>
  <c r="J48" i="9"/>
  <c r="C48" i="9"/>
  <c r="K48" i="9"/>
  <c r="O45" i="9"/>
  <c r="D48" i="9"/>
  <c r="L48" i="9"/>
  <c r="E48" i="9"/>
  <c r="M48" i="9"/>
  <c r="F48" i="9"/>
  <c r="N48" i="9"/>
  <c r="G48" i="9"/>
  <c r="H48" i="9"/>
  <c r="I34" i="1" l="1"/>
  <c r="P19" i="4"/>
  <c r="P9" i="4"/>
  <c r="P10" i="4"/>
  <c r="P33" i="4"/>
  <c r="P32" i="4"/>
  <c r="P31" i="4"/>
  <c r="P8" i="4"/>
  <c r="P11" i="4"/>
  <c r="P12" i="4"/>
  <c r="P13" i="4"/>
  <c r="P14" i="4"/>
  <c r="P15" i="4"/>
  <c r="P16" i="4"/>
  <c r="P17" i="4"/>
  <c r="P18" i="4"/>
  <c r="P20" i="4"/>
  <c r="P21" i="4"/>
  <c r="P22" i="4"/>
  <c r="P23" i="4"/>
  <c r="P24" i="4"/>
  <c r="P25" i="4"/>
  <c r="P26" i="4"/>
  <c r="P27" i="4"/>
  <c r="P7" i="4"/>
  <c r="I38" i="1"/>
  <c r="I36" i="1"/>
  <c r="D34" i="4"/>
  <c r="F34" i="4"/>
  <c r="H34" i="4"/>
  <c r="J34" i="4"/>
  <c r="L34" i="4"/>
  <c r="N34" i="4"/>
  <c r="B34" i="4"/>
  <c r="P34" i="4" l="1"/>
  <c r="P28" i="4"/>
  <c r="D28" i="4"/>
  <c r="F28" i="4"/>
  <c r="H28" i="4"/>
  <c r="J28" i="4"/>
  <c r="L28" i="4"/>
  <c r="N28" i="4"/>
  <c r="B28" i="4"/>
  <c r="F9" i="3"/>
  <c r="F38" i="3"/>
  <c r="F8" i="3"/>
  <c r="F10" i="3"/>
  <c r="F11" i="3"/>
  <c r="F12" i="3"/>
  <c r="F13" i="3"/>
  <c r="F14" i="3"/>
  <c r="F15" i="3"/>
  <c r="F16" i="3"/>
  <c r="F17" i="3"/>
  <c r="F18" i="3"/>
  <c r="F19" i="3"/>
  <c r="F20" i="3"/>
  <c r="F21" i="3"/>
  <c r="F22" i="3"/>
  <c r="F23" i="3"/>
  <c r="F24" i="3"/>
  <c r="F25" i="3"/>
  <c r="F26" i="3"/>
  <c r="F27" i="3"/>
  <c r="F31" i="3"/>
  <c r="F32" i="3"/>
  <c r="F33" i="3"/>
  <c r="F7" i="3"/>
  <c r="D34" i="3"/>
  <c r="B34" i="3"/>
  <c r="B28" i="3"/>
  <c r="D28" i="3"/>
  <c r="F38" i="2"/>
  <c r="H38" i="2" s="1"/>
  <c r="F25" i="2"/>
  <c r="H25" i="2" s="1"/>
  <c r="F14" i="2"/>
  <c r="H14" i="2" s="1"/>
  <c r="F33" i="2"/>
  <c r="F32" i="2"/>
  <c r="H32" i="2" s="1"/>
  <c r="F31" i="2"/>
  <c r="H31" i="2" s="1"/>
  <c r="D34" i="2"/>
  <c r="E34" i="2"/>
  <c r="B34" i="2"/>
  <c r="F8" i="2"/>
  <c r="H8" i="2" s="1"/>
  <c r="F9" i="2"/>
  <c r="H9" i="2" s="1"/>
  <c r="F11" i="2"/>
  <c r="H11" i="2" s="1"/>
  <c r="F12" i="2"/>
  <c r="F13" i="2"/>
  <c r="H13" i="2" s="1"/>
  <c r="F15" i="2"/>
  <c r="H15" i="2" s="1"/>
  <c r="F16" i="2"/>
  <c r="H16" i="2" s="1"/>
  <c r="F17" i="2"/>
  <c r="H17" i="2" s="1"/>
  <c r="F18" i="2"/>
  <c r="H18" i="2" s="1"/>
  <c r="F19" i="2"/>
  <c r="H19" i="2" s="1"/>
  <c r="F20" i="2"/>
  <c r="H20" i="2" s="1"/>
  <c r="F21" i="2"/>
  <c r="H21" i="2" s="1"/>
  <c r="F22" i="2"/>
  <c r="H22" i="2" s="1"/>
  <c r="F23" i="2"/>
  <c r="H23" i="2" s="1"/>
  <c r="F24" i="2"/>
  <c r="H24" i="2" s="1"/>
  <c r="F26" i="2"/>
  <c r="H26" i="2" s="1"/>
  <c r="F27" i="2"/>
  <c r="H27" i="2" s="1"/>
  <c r="F7" i="2"/>
  <c r="H7" i="2" s="1"/>
  <c r="D28" i="2"/>
  <c r="E28" i="2"/>
  <c r="B28" i="2"/>
  <c r="B36" i="3" l="1"/>
  <c r="C9" i="3" s="1"/>
  <c r="D36" i="3"/>
  <c r="D39" i="3" s="1"/>
  <c r="D36" i="4"/>
  <c r="E28" i="4" s="1"/>
  <c r="B36" i="4"/>
  <c r="C28" i="4" s="1"/>
  <c r="N36" i="4"/>
  <c r="O28" i="4" s="1"/>
  <c r="L36" i="4"/>
  <c r="M28" i="4" s="1"/>
  <c r="J36" i="4"/>
  <c r="K28" i="4" s="1"/>
  <c r="F36" i="4"/>
  <c r="H36" i="4"/>
  <c r="I28" i="4" s="1"/>
  <c r="P36" i="4"/>
  <c r="C20" i="3"/>
  <c r="E22" i="3"/>
  <c r="F34" i="3"/>
  <c r="E14" i="3"/>
  <c r="F28" i="3"/>
  <c r="C17" i="3"/>
  <c r="C8" i="3"/>
  <c r="C16" i="3"/>
  <c r="C36" i="3"/>
  <c r="C15" i="3"/>
  <c r="E17" i="3"/>
  <c r="C14" i="3"/>
  <c r="C31" i="3"/>
  <c r="C27" i="3"/>
  <c r="C19" i="3"/>
  <c r="C26" i="3"/>
  <c r="C18" i="3"/>
  <c r="D36" i="2"/>
  <c r="D39" i="2" s="1"/>
  <c r="B36" i="2"/>
  <c r="B39" i="2" s="1"/>
  <c r="E36" i="2"/>
  <c r="E39" i="2" s="1"/>
  <c r="F34" i="2"/>
  <c r="H33" i="2"/>
  <c r="H34" i="2" s="1"/>
  <c r="F28" i="2"/>
  <c r="H12" i="2"/>
  <c r="H28" i="2" s="1"/>
  <c r="B39" i="3" l="1"/>
  <c r="C13" i="3"/>
  <c r="C22" i="3"/>
  <c r="C23" i="3"/>
  <c r="C24" i="3"/>
  <c r="C7" i="3"/>
  <c r="E18" i="3"/>
  <c r="C12" i="3"/>
  <c r="C10" i="3"/>
  <c r="C11" i="3"/>
  <c r="C21" i="3"/>
  <c r="C32" i="3"/>
  <c r="C33" i="3"/>
  <c r="C34" i="3"/>
  <c r="C28" i="3"/>
  <c r="C25" i="3"/>
  <c r="E11" i="3"/>
  <c r="E33" i="3"/>
  <c r="E36" i="3"/>
  <c r="E8" i="3"/>
  <c r="E26" i="3"/>
  <c r="E28" i="3"/>
  <c r="E9" i="3"/>
  <c r="E12" i="3"/>
  <c r="E16" i="3"/>
  <c r="E25" i="3"/>
  <c r="E27" i="3"/>
  <c r="E19" i="3"/>
  <c r="E20" i="3"/>
  <c r="E15" i="3"/>
  <c r="E24" i="3"/>
  <c r="E7" i="3"/>
  <c r="E13" i="3"/>
  <c r="E21" i="3"/>
  <c r="E23" i="3"/>
  <c r="E34" i="3"/>
  <c r="E31" i="3"/>
  <c r="E10" i="3"/>
  <c r="E32" i="3"/>
  <c r="B40" i="4"/>
  <c r="C11" i="4"/>
  <c r="C19" i="4"/>
  <c r="C27" i="4"/>
  <c r="C13" i="4"/>
  <c r="C31" i="4"/>
  <c r="C14" i="4"/>
  <c r="C22" i="4"/>
  <c r="C23" i="4"/>
  <c r="C8" i="4"/>
  <c r="C7" i="4"/>
  <c r="C12" i="4"/>
  <c r="C20" i="4"/>
  <c r="C21" i="4"/>
  <c r="C24" i="4"/>
  <c r="C9" i="4"/>
  <c r="C17" i="4"/>
  <c r="C25" i="4"/>
  <c r="C36" i="4"/>
  <c r="C10" i="4"/>
  <c r="C18" i="4"/>
  <c r="C26" i="4"/>
  <c r="C32" i="4"/>
  <c r="C15" i="4"/>
  <c r="C33" i="4"/>
  <c r="C16" i="4"/>
  <c r="C34" i="4"/>
  <c r="L40" i="4"/>
  <c r="M13" i="4"/>
  <c r="M21" i="4"/>
  <c r="M31" i="4"/>
  <c r="M7" i="4"/>
  <c r="M15" i="4"/>
  <c r="M23" i="4"/>
  <c r="M33" i="4"/>
  <c r="M24" i="4"/>
  <c r="M25" i="4"/>
  <c r="M18" i="4"/>
  <c r="M26" i="4"/>
  <c r="M14" i="4"/>
  <c r="M22" i="4"/>
  <c r="M32" i="4"/>
  <c r="M16" i="4"/>
  <c r="M10" i="4"/>
  <c r="M11" i="4"/>
  <c r="M19" i="4"/>
  <c r="M27" i="4"/>
  <c r="M12" i="4"/>
  <c r="M20" i="4"/>
  <c r="M8" i="4"/>
  <c r="M9" i="4"/>
  <c r="M17" i="4"/>
  <c r="M36" i="4"/>
  <c r="M34" i="4"/>
  <c r="D40" i="4"/>
  <c r="E13" i="4"/>
  <c r="E21" i="4"/>
  <c r="E31" i="4"/>
  <c r="E15" i="4"/>
  <c r="E23" i="4"/>
  <c r="E33" i="4"/>
  <c r="E16" i="4"/>
  <c r="E17" i="4"/>
  <c r="E36" i="4"/>
  <c r="E18" i="4"/>
  <c r="E14" i="4"/>
  <c r="E22" i="4"/>
  <c r="E32" i="4"/>
  <c r="E24" i="4"/>
  <c r="E7" i="4"/>
  <c r="E11" i="4"/>
  <c r="E19" i="4"/>
  <c r="E27" i="4"/>
  <c r="E12" i="4"/>
  <c r="E20" i="4"/>
  <c r="E8" i="4"/>
  <c r="E34" i="4"/>
  <c r="E9" i="4"/>
  <c r="E25" i="4"/>
  <c r="E10" i="4"/>
  <c r="E26" i="4"/>
  <c r="H40" i="4"/>
  <c r="I9" i="4"/>
  <c r="I17" i="4"/>
  <c r="I25" i="4"/>
  <c r="I36" i="4"/>
  <c r="I11" i="4"/>
  <c r="I19" i="4"/>
  <c r="I7" i="4"/>
  <c r="I31" i="4"/>
  <c r="I14" i="4"/>
  <c r="I32" i="4"/>
  <c r="I10" i="4"/>
  <c r="I18" i="4"/>
  <c r="I26" i="4"/>
  <c r="I27" i="4"/>
  <c r="I15" i="4"/>
  <c r="I23" i="4"/>
  <c r="I33" i="4"/>
  <c r="I8" i="4"/>
  <c r="I16" i="4"/>
  <c r="I24" i="4"/>
  <c r="I12" i="4"/>
  <c r="I20" i="4"/>
  <c r="I13" i="4"/>
  <c r="I21" i="4"/>
  <c r="I22" i="4"/>
  <c r="I34" i="4"/>
  <c r="F40" i="4"/>
  <c r="G15" i="4"/>
  <c r="G23" i="4"/>
  <c r="G33" i="4"/>
  <c r="G9" i="4"/>
  <c r="G17" i="4"/>
  <c r="G36" i="4"/>
  <c r="G26" i="4"/>
  <c r="G27" i="4"/>
  <c r="G8" i="4"/>
  <c r="G16" i="4"/>
  <c r="G24" i="4"/>
  <c r="G25" i="4"/>
  <c r="G18" i="4"/>
  <c r="G7" i="4"/>
  <c r="G19" i="4"/>
  <c r="G13" i="4"/>
  <c r="G21" i="4"/>
  <c r="G31" i="4"/>
  <c r="G14" i="4"/>
  <c r="G22" i="4"/>
  <c r="G32" i="4"/>
  <c r="G10" i="4"/>
  <c r="G11" i="4"/>
  <c r="G12" i="4"/>
  <c r="G20" i="4"/>
  <c r="G34" i="4"/>
  <c r="J40" i="4"/>
  <c r="K11" i="4"/>
  <c r="K19" i="4"/>
  <c r="K27" i="4"/>
  <c r="K13" i="4"/>
  <c r="K31" i="4"/>
  <c r="K22" i="4"/>
  <c r="K15" i="4"/>
  <c r="K33" i="4"/>
  <c r="K16" i="4"/>
  <c r="K24" i="4"/>
  <c r="K12" i="4"/>
  <c r="K20" i="4"/>
  <c r="K7" i="4"/>
  <c r="K21" i="4"/>
  <c r="K32" i="4"/>
  <c r="K9" i="4"/>
  <c r="K17" i="4"/>
  <c r="K25" i="4"/>
  <c r="K36" i="4"/>
  <c r="K10" i="4"/>
  <c r="K18" i="4"/>
  <c r="K26" i="4"/>
  <c r="K14" i="4"/>
  <c r="K23" i="4"/>
  <c r="K8" i="4"/>
  <c r="K34" i="4"/>
  <c r="C34" i="2"/>
  <c r="G28" i="4"/>
  <c r="N40" i="4"/>
  <c r="O15" i="4"/>
  <c r="O23" i="4"/>
  <c r="O33" i="4"/>
  <c r="O9" i="4"/>
  <c r="O25" i="4"/>
  <c r="O36" i="4"/>
  <c r="O10" i="4"/>
  <c r="O19" i="4"/>
  <c r="O12" i="4"/>
  <c r="O8" i="4"/>
  <c r="O16" i="4"/>
  <c r="O24" i="4"/>
  <c r="O17" i="4"/>
  <c r="O18" i="4"/>
  <c r="O27" i="4"/>
  <c r="O13" i="4"/>
  <c r="O21" i="4"/>
  <c r="O31" i="4"/>
  <c r="O14" i="4"/>
  <c r="O22" i="4"/>
  <c r="O32" i="4"/>
  <c r="O7" i="4"/>
  <c r="O26" i="4"/>
  <c r="O11" i="4"/>
  <c r="O20" i="4"/>
  <c r="O34" i="4"/>
  <c r="P40" i="4"/>
  <c r="Q8" i="4"/>
  <c r="Q36" i="4"/>
  <c r="Q18" i="4"/>
  <c r="Q11" i="4"/>
  <c r="Q27" i="4"/>
  <c r="Q12" i="4"/>
  <c r="Q20" i="4"/>
  <c r="Q13" i="4"/>
  <c r="Q21" i="4"/>
  <c r="Q14" i="4"/>
  <c r="Q22" i="4"/>
  <c r="Q15" i="4"/>
  <c r="Q33" i="4"/>
  <c r="Q10" i="4"/>
  <c r="Q9" i="4"/>
  <c r="Q19" i="4"/>
  <c r="Q25" i="4"/>
  <c r="Q7" i="4"/>
  <c r="Q16" i="4"/>
  <c r="Q26" i="4"/>
  <c r="Q32" i="4"/>
  <c r="Q17" i="4"/>
  <c r="Q24" i="4"/>
  <c r="Q31" i="4"/>
  <c r="Q23" i="4"/>
  <c r="Q28" i="4"/>
  <c r="Q34" i="4"/>
  <c r="F36" i="3"/>
  <c r="C8" i="2"/>
  <c r="C16" i="2"/>
  <c r="C24" i="2"/>
  <c r="C7" i="2"/>
  <c r="C19" i="2"/>
  <c r="C13" i="2"/>
  <c r="C31" i="2"/>
  <c r="C9" i="2"/>
  <c r="C17" i="2"/>
  <c r="C25" i="2"/>
  <c r="C36" i="2"/>
  <c r="C10" i="2"/>
  <c r="C18" i="2"/>
  <c r="C11" i="2"/>
  <c r="C27" i="2"/>
  <c r="C12" i="2"/>
  <c r="C28" i="2"/>
  <c r="C14" i="2"/>
  <c r="C22" i="2"/>
  <c r="C32" i="2"/>
  <c r="C15" i="2"/>
  <c r="C23" i="2"/>
  <c r="C33" i="2"/>
  <c r="C26" i="2"/>
  <c r="C20" i="2"/>
  <c r="C21" i="2"/>
  <c r="H36" i="2"/>
  <c r="F36" i="2"/>
  <c r="F39" i="2" s="1"/>
  <c r="F39" i="3" l="1"/>
  <c r="G8" i="3"/>
  <c r="G24" i="3"/>
  <c r="G17" i="3"/>
  <c r="G16" i="3"/>
  <c r="G9" i="3"/>
  <c r="G25" i="3"/>
  <c r="G18" i="3"/>
  <c r="G15" i="3"/>
  <c r="G23" i="3"/>
  <c r="G33" i="3"/>
  <c r="G36" i="3"/>
  <c r="G10" i="3"/>
  <c r="G26" i="3"/>
  <c r="G7" i="3"/>
  <c r="G32" i="3"/>
  <c r="G19" i="3"/>
  <c r="G27" i="3"/>
  <c r="G13" i="3"/>
  <c r="G31" i="3"/>
  <c r="G12" i="3"/>
  <c r="G20" i="3"/>
  <c r="G22" i="3"/>
  <c r="G14" i="3"/>
  <c r="G21" i="3"/>
  <c r="G11" i="3"/>
  <c r="G28" i="3"/>
  <c r="G34" i="3"/>
  <c r="H39" i="2"/>
  <c r="G13" i="2"/>
  <c r="G21" i="2"/>
  <c r="G31" i="2"/>
  <c r="G15" i="2"/>
  <c r="G33" i="2"/>
  <c r="G16" i="2"/>
  <c r="G9" i="2"/>
  <c r="G17" i="2"/>
  <c r="G25" i="2"/>
  <c r="G36" i="2"/>
  <c r="G11" i="2"/>
  <c r="G19" i="2"/>
  <c r="G20" i="2"/>
  <c r="G14" i="2"/>
  <c r="G22" i="2"/>
  <c r="G32" i="2"/>
  <c r="G8" i="2"/>
  <c r="G10" i="2"/>
  <c r="G18" i="2"/>
  <c r="G26" i="2"/>
  <c r="G7" i="2"/>
  <c r="G27" i="2"/>
  <c r="G12" i="2"/>
  <c r="G28" i="2"/>
  <c r="G23" i="2"/>
  <c r="G24" i="2"/>
  <c r="I8" i="2"/>
  <c r="I16" i="2"/>
  <c r="I24" i="2"/>
  <c r="I26" i="2"/>
  <c r="I19" i="2"/>
  <c r="I12" i="2"/>
  <c r="I20" i="2"/>
  <c r="I28" i="2"/>
  <c r="I14" i="2"/>
  <c r="I22" i="2"/>
  <c r="I15" i="2"/>
  <c r="I33" i="2"/>
  <c r="I9" i="2"/>
  <c r="I17" i="2"/>
  <c r="I25" i="2"/>
  <c r="I36" i="2"/>
  <c r="I10" i="2"/>
  <c r="I7" i="2"/>
  <c r="I11" i="2"/>
  <c r="I13" i="2"/>
  <c r="I21" i="2"/>
  <c r="I31" i="2"/>
  <c r="I32" i="2"/>
  <c r="I23" i="2"/>
  <c r="I18" i="2"/>
  <c r="I27" i="2"/>
  <c r="I34" i="2"/>
  <c r="G34" i="2"/>
  <c r="B28" i="1" l="1"/>
  <c r="B38" i="1" s="1"/>
  <c r="D38" i="1"/>
  <c r="E38" i="1"/>
  <c r="F38" i="1"/>
  <c r="G38" i="1"/>
  <c r="H38" i="1"/>
  <c r="N38" i="1"/>
  <c r="O38" i="1"/>
  <c r="B34" i="1"/>
  <c r="D34" i="1"/>
  <c r="E34" i="1"/>
  <c r="F34" i="1"/>
  <c r="G34" i="1"/>
  <c r="H34" i="1"/>
  <c r="J34" i="1"/>
  <c r="K34" i="1"/>
  <c r="L34" i="1"/>
  <c r="M34" i="1"/>
  <c r="N34" i="1"/>
  <c r="O34" i="1"/>
  <c r="K36" i="1" l="1"/>
  <c r="J36" i="1"/>
  <c r="J38" i="1"/>
  <c r="H36" i="1"/>
  <c r="M36" i="1"/>
  <c r="M38" i="1"/>
  <c r="O36" i="1"/>
  <c r="G36" i="1"/>
  <c r="D36" i="1"/>
  <c r="K38" i="1"/>
  <c r="N36" i="1"/>
  <c r="L36" i="1"/>
  <c r="B36" i="1"/>
  <c r="L38" i="1"/>
  <c r="F36" i="1"/>
  <c r="E36" i="1"/>
  <c r="Q34" i="1"/>
  <c r="P34" i="1"/>
  <c r="C36" i="1" l="1"/>
  <c r="C14" i="1"/>
  <c r="C22" i="1"/>
  <c r="C32" i="1"/>
  <c r="C8" i="1"/>
  <c r="C24" i="1"/>
  <c r="C18" i="1"/>
  <c r="C27" i="1"/>
  <c r="C20" i="1"/>
  <c r="C13" i="1"/>
  <c r="C21" i="1"/>
  <c r="C15" i="1"/>
  <c r="C23" i="1"/>
  <c r="C33" i="1"/>
  <c r="C16" i="1"/>
  <c r="C7" i="1"/>
  <c r="C19" i="1"/>
  <c r="C28" i="1"/>
  <c r="C9" i="1"/>
  <c r="C17" i="1"/>
  <c r="C25" i="1"/>
  <c r="C10" i="1"/>
  <c r="C26" i="1"/>
  <c r="C11" i="1"/>
  <c r="C12" i="1"/>
  <c r="C31" i="1"/>
  <c r="C34" i="1"/>
  <c r="Q38" i="1" l="1"/>
  <c r="Q36" i="1"/>
  <c r="P38" i="1"/>
  <c r="P36" i="1"/>
  <c r="B35" i="5" l="1"/>
  <c r="B29" i="5"/>
  <c r="D27" i="5" l="1"/>
  <c r="D16" i="5"/>
  <c r="D24" i="5"/>
  <c r="F29" i="5"/>
  <c r="D9" i="5"/>
  <c r="D13" i="5"/>
  <c r="D17" i="5"/>
  <c r="D21" i="5"/>
  <c r="D25" i="5"/>
  <c r="D29" i="5"/>
  <c r="D11" i="5"/>
  <c r="D19" i="5"/>
  <c r="D20" i="5"/>
  <c r="D8" i="5"/>
  <c r="D10" i="5"/>
  <c r="D14" i="5"/>
  <c r="D18" i="5"/>
  <c r="D22" i="5"/>
  <c r="D26" i="5"/>
  <c r="D15" i="5"/>
  <c r="D23" i="5"/>
  <c r="D12" i="5"/>
  <c r="D28" i="5"/>
  <c r="B37" i="5"/>
  <c r="F39" i="5" l="1"/>
  <c r="C15" i="5"/>
  <c r="C12" i="5"/>
  <c r="C24" i="5"/>
  <c r="C9" i="5"/>
  <c r="C13" i="5"/>
  <c r="C17" i="5"/>
  <c r="C21" i="5"/>
  <c r="C25" i="5"/>
  <c r="C20" i="5"/>
  <c r="C37" i="5"/>
  <c r="C10" i="5"/>
  <c r="C14" i="5"/>
  <c r="C18" i="5"/>
  <c r="C22" i="5"/>
  <c r="C26" i="5"/>
  <c r="C32" i="5"/>
  <c r="C8" i="5"/>
  <c r="C33" i="5"/>
  <c r="C11" i="5"/>
  <c r="C19" i="5"/>
  <c r="C23" i="5"/>
  <c r="C27" i="5"/>
  <c r="C34" i="5"/>
  <c r="C16" i="5"/>
  <c r="C28" i="5"/>
  <c r="C35" i="5"/>
  <c r="C29" i="5"/>
</calcChain>
</file>

<file path=xl/sharedStrings.xml><?xml version="1.0" encoding="utf-8"?>
<sst xmlns="http://schemas.openxmlformats.org/spreadsheetml/2006/main" count="731" uniqueCount="406">
  <si>
    <t>Total Services</t>
  </si>
  <si>
    <t>Table 10</t>
  </si>
  <si>
    <t>North Carolina Medicaid</t>
  </si>
  <si>
    <t>Type of Service</t>
  </si>
  <si>
    <t>Total Service Dollars</t>
  </si>
  <si>
    <t>Percent of Service Dollars</t>
  </si>
  <si>
    <t>Aged</t>
  </si>
  <si>
    <t>MQBQ 
Medicare Qualified Beneficiary ****</t>
  </si>
  <si>
    <t>MQBB+MQBE
Part B Premium Only</t>
  </si>
  <si>
    <t>Blind</t>
  </si>
  <si>
    <t>Disabled</t>
  </si>
  <si>
    <t>Other Adult**</t>
  </si>
  <si>
    <t xml:space="preserve"> Children***</t>
  </si>
  <si>
    <t>MSCHIP</t>
  </si>
  <si>
    <t>Breast 
&amp; Cervical 
Cancer</t>
  </si>
  <si>
    <t>Family Planning</t>
  </si>
  <si>
    <t>Medsolution Encounters</t>
  </si>
  <si>
    <t>Alien 
&amp; Refugees</t>
  </si>
  <si>
    <t>Adjustments and Others</t>
  </si>
  <si>
    <t>Infants and Children</t>
  </si>
  <si>
    <t>Table 9</t>
  </si>
  <si>
    <t>Eligibility Group</t>
  </si>
  <si>
    <t>Total Recipients</t>
  </si>
  <si>
    <t>Medicare-Aid (MQBQ &amp; MQBB &amp; MQBE)</t>
  </si>
  <si>
    <t>Total Elderly</t>
  </si>
  <si>
    <t>Total Disabled</t>
  </si>
  <si>
    <t>TANF (AFDC) Adults (&gt; 21)</t>
  </si>
  <si>
    <t>Medicaid Pregnant Women (MPW)</t>
  </si>
  <si>
    <t>TANF (AFDC) Children &amp; Other Children</t>
  </si>
  <si>
    <t>Medicaid Infants&amp;Children (MIC)</t>
  </si>
  <si>
    <t>Breast and Cervical</t>
  </si>
  <si>
    <t>M-SCHIP</t>
  </si>
  <si>
    <t>Total Families &amp;Children</t>
  </si>
  <si>
    <t>Aliens and Refugees</t>
  </si>
  <si>
    <t>Total Service Expenditures for the above groups</t>
  </si>
  <si>
    <t>Note3: HealthChoice is not included.</t>
  </si>
  <si>
    <t>Table 7</t>
  </si>
  <si>
    <t xml:space="preserve">North Carolina Medicaid </t>
  </si>
  <si>
    <t>COUNTY</t>
  </si>
  <si>
    <t>Number of Medicaid Eligibles</t>
  </si>
  <si>
    <t>Total Expenditures</t>
  </si>
  <si>
    <t>Expenditure per Eligible</t>
  </si>
  <si>
    <t>Per Capita Expenditure</t>
  </si>
  <si>
    <t>Ranking</t>
  </si>
  <si>
    <t>Eligibles per 1,000 Population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</si>
  <si>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</si>
  <si>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</si>
  <si>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</si>
  <si>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</si>
  <si>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</si>
  <si>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</si>
  <si>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</si>
  <si>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</si>
  <si>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</si>
  <si>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</si>
  <si>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</si>
  <si>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</si>
  <si>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</si>
  <si>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</si>
  <si>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</si>
  <si>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</si>
  <si>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</si>
  <si>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</si>
  <si>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</si>
  <si>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</si>
  <si>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</si>
  <si>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</si>
  <si>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</si>
  <si>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</si>
  <si>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</si>
  <si>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</si>
  <si>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</si>
  <si>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</si>
  <si>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</si>
  <si>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</si>
  <si>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</si>
  <si>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</si>
  <si>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</si>
  <si>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</si>
  <si>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</si>
  <si>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</si>
  <si>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</si>
  <si>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</si>
  <si>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</si>
  <si>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</si>
  <si>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</si>
  <si>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</si>
  <si>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</si>
  <si>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</si>
  <si>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</si>
  <si>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</si>
  <si>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</si>
  <si>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</si>
  <si>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</si>
  <si>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</si>
  <si>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</si>
  <si>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</si>
  <si>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</si>
  <si>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</si>
  <si>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</si>
  <si>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</si>
  <si>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</si>
  <si>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</si>
  <si>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</si>
  <si>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</si>
  <si>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</si>
  <si>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</si>
  <si>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</si>
  <si>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</si>
  <si>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</si>
  <si>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</si>
  <si>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</si>
  <si>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</si>
  <si>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</si>
  <si>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</si>
  <si>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</si>
  <si>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</si>
  <si>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</si>
  <si>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</si>
  <si>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</si>
  <si>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</si>
  <si>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</si>
  <si>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</si>
  <si>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</si>
  <si>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</si>
  <si>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</si>
  <si>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</si>
  <si>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</si>
  <si>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</si>
  <si>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</si>
  <si>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</si>
  <si>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</si>
  <si>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</si>
  <si>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</si>
  <si>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</si>
  <si>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</si>
  <si>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</si>
  <si>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</si>
  <si>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</si>
  <si>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</si>
  <si>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</si>
  <si>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</si>
  <si>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</si>
  <si>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</si>
  <si>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</si>
  <si>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3.County population is obtained from NC Budget and Management (NC OSBM).</t>
  </si>
  <si>
    <t>4. Eligibles are counted in only one county during each year (the last county of record) regardless of whether they may have moved between counties.</t>
  </si>
  <si>
    <t>Unknown</t>
  </si>
  <si>
    <t>Premiums:</t>
  </si>
  <si>
    <t>Medicare, Part A Premiums</t>
  </si>
  <si>
    <t>Medicare, Part B Premiums</t>
  </si>
  <si>
    <t>Total Premiums</t>
  </si>
  <si>
    <t>Grand Total Services and Premiums</t>
  </si>
  <si>
    <t>Percentage of Paid Claims and Premiums</t>
  </si>
  <si>
    <t>Percentage of Paid Claims only</t>
  </si>
  <si>
    <t>2017 Expenditures per Recipient</t>
  </si>
  <si>
    <t>Table 8</t>
  </si>
  <si>
    <t>Expenditures per Recipient</t>
  </si>
  <si>
    <t xml:space="preserve">MedSolution Claims Excluded </t>
  </si>
  <si>
    <t xml:space="preserve">  In addition ALL CAP/MR Services were also as of April 2013 provided under 1915(c) – Innovations with service delivery through the LME under the authority of the 1915(b).  </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</si>
  <si>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</si>
  <si>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</si>
  <si>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 xml:space="preserve">          HealthChoice is not included.</t>
  </si>
  <si>
    <t>Table 11</t>
  </si>
  <si>
    <t>MQBQ 
Medicare Qualified Beneficiary</t>
  </si>
  <si>
    <t>Total Qualified Beneficieries</t>
  </si>
  <si>
    <t>Total Elderly Dollars</t>
  </si>
  <si>
    <t>HMO Premiums</t>
  </si>
  <si>
    <t>Psychiatric Hospital (&lt; 21)</t>
  </si>
  <si>
    <t>Intermediate Care Facility (Mentally Retarded)</t>
  </si>
  <si>
    <t>High Risk Intervention Residential</t>
  </si>
  <si>
    <t>Inpatient Hospital</t>
  </si>
  <si>
    <t>Outpatient Hospital</t>
  </si>
  <si>
    <t>Mental Hospital (&gt; 65)</t>
  </si>
  <si>
    <t>Physician</t>
  </si>
  <si>
    <t>Clinics</t>
  </si>
  <si>
    <t>Nursing Facility</t>
  </si>
  <si>
    <t>Dental</t>
  </si>
  <si>
    <t>Prescribed Drugs</t>
  </si>
  <si>
    <t>Home Health</t>
  </si>
  <si>
    <t>CAP/Disabled Adult</t>
  </si>
  <si>
    <t>CAP/Mentally Retarded</t>
  </si>
  <si>
    <t>CAP/Children</t>
  </si>
  <si>
    <t>Personal Care</t>
  </si>
  <si>
    <t>Hospice</t>
  </si>
  <si>
    <t>EPSDT (Health Check)</t>
  </si>
  <si>
    <t>Lab &amp; X-ray</t>
  </si>
  <si>
    <t>Practitioner-Non Physician</t>
  </si>
  <si>
    <t>Other Services</t>
  </si>
  <si>
    <t>Total Elderly Recipients</t>
  </si>
  <si>
    <r>
      <rPr>
        <b/>
        <sz val="8"/>
        <rFont val="Trebuchet MS"/>
        <family val="2"/>
      </rPr>
      <t>Note</t>
    </r>
    <r>
      <rPr>
        <sz val="8"/>
        <rFont val="Trebuchet MS"/>
        <family val="2"/>
      </rPr>
      <t>: Service Expenditure/Recipient amounts do not contain adjustments, settlements or administrative costs.</t>
    </r>
  </si>
  <si>
    <t>Table 12</t>
  </si>
  <si>
    <t>Total Blind &amp; Disabled Dollars</t>
  </si>
  <si>
    <t>Total Disabled/Blind Recipients</t>
  </si>
  <si>
    <t>Table 13</t>
  </si>
  <si>
    <t>AFDC Adults</t>
  </si>
  <si>
    <t>% of Service Dollars</t>
  </si>
  <si>
    <t>AFDC Children &amp; Other Children</t>
  </si>
  <si>
    <t>Breast Cervical</t>
  </si>
  <si>
    <t>Total Families &amp;  Children  Dollars</t>
  </si>
  <si>
    <t>Table 14</t>
  </si>
  <si>
    <t>Table 6</t>
  </si>
  <si>
    <t>Fiscal Year</t>
  </si>
  <si>
    <t>TANF(AFDC Adults &amp; Children)</t>
  </si>
  <si>
    <t xml:space="preserve">Family Planning </t>
  </si>
  <si>
    <t>Other Children</t>
  </si>
  <si>
    <t>Pregnant Women</t>
  </si>
  <si>
    <t>Infants &amp; Children</t>
  </si>
  <si>
    <t>Qualified Medicare Beneficiaries</t>
  </si>
  <si>
    <t>Breast &amp; Cervical Cancer</t>
  </si>
  <si>
    <t>MCHIP</t>
  </si>
  <si>
    <t>Unduplicated Total</t>
  </si>
  <si>
    <t>Percent 
Change</t>
  </si>
  <si>
    <t>1978-79</t>
  </si>
  <si>
    <t>N/A</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</si>
  <si>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</si>
  <si>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</si>
  <si>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</si>
  <si>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</si>
  <si>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</si>
  <si>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</si>
  <si>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</si>
  <si>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</si>
  <si>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</si>
  <si>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</si>
  <si>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</si>
  <si>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</si>
  <si>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</si>
  <si>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</si>
  <si>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</si>
  <si>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</si>
  <si>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</si>
  <si>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</si>
  <si>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</si>
  <si>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</si>
  <si>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</si>
  <si>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</si>
  <si>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</si>
  <si>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</si>
  <si>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</si>
  <si>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</si>
  <si>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</si>
  <si>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</si>
  <si>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</si>
  <si>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</si>
  <si>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</si>
  <si>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</si>
  <si>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</si>
  <si>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</si>
  <si>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</si>
  <si>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</si>
  <si>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</si>
  <si>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</si>
  <si>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Note1:  all categories are mutually exclusive in any given year; an eligible is counted in only one category during each year (the last category of record) regardless of whether they may have moved between categories.</t>
  </si>
  <si>
    <t>Note2:  Health Choice not included</t>
  </si>
  <si>
    <t>Table 3</t>
  </si>
  <si>
    <t>Provider  Type</t>
  </si>
  <si>
    <t xml:space="preserve">Unduplicated NPI Count  By Type </t>
  </si>
  <si>
    <t>NPI Count with Multiple Taxonomy codes</t>
  </si>
  <si>
    <t>Agencies</t>
  </si>
  <si>
    <t>Allopathic &amp; Osteopathic Physicians</t>
  </si>
  <si>
    <t>Ambulatory Health Care Facilities</t>
  </si>
  <si>
    <t>Behavioral Health &amp; Social Service Providers</t>
  </si>
  <si>
    <t>Chiropractic Providers</t>
  </si>
  <si>
    <t>Dental Providers</t>
  </si>
  <si>
    <t>Eye and Vision Services Providers</t>
  </si>
  <si>
    <t>Group</t>
  </si>
  <si>
    <t>Hospital Units</t>
  </si>
  <si>
    <t>Hospitals</t>
  </si>
  <si>
    <t>Laboratories</t>
  </si>
  <si>
    <t>Managed Care Organizations</t>
  </si>
  <si>
    <t>Nursing &amp; Custodial Care Facilities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</si>
  <si>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</si>
  <si>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</si>
  <si>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</si>
  <si>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</si>
  <si>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</si>
  <si>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t>
  </si>
  <si>
    <t>Respite Care Facility</t>
  </si>
  <si>
    <t>Speech, Language and Hearing Service Providers</t>
  </si>
  <si>
    <t>Suppliers</t>
  </si>
  <si>
    <t>Transportation Services</t>
  </si>
  <si>
    <t>TOTAL</t>
  </si>
  <si>
    <t>State Total</t>
  </si>
  <si>
    <t>Table 4</t>
  </si>
  <si>
    <t>SFY 2010</t>
  </si>
  <si>
    <t>SFY 2011</t>
  </si>
  <si>
    <t>SFY 2012</t>
  </si>
  <si>
    <t>SFY 2013</t>
  </si>
  <si>
    <t>SFY 2014</t>
  </si>
  <si>
    <t>SFY 2015</t>
  </si>
  <si>
    <t>SFY 2016</t>
  </si>
  <si>
    <t>SFY 2017</t>
  </si>
  <si>
    <t>Federal</t>
  </si>
  <si>
    <r>
      <t>State</t>
    </r>
    <r>
      <rPr>
        <vertAlign val="superscript"/>
        <sz val="10"/>
        <rFont val="Trebuchet MS"/>
        <family val="2"/>
      </rPr>
      <t>1</t>
    </r>
  </si>
  <si>
    <r>
      <t>Other State</t>
    </r>
    <r>
      <rPr>
        <vertAlign val="superscript"/>
        <sz val="10"/>
        <rFont val="Trebuchet MS"/>
        <family val="2"/>
      </rPr>
      <t>2</t>
    </r>
  </si>
  <si>
    <t>County</t>
  </si>
  <si>
    <t>Total</t>
  </si>
  <si>
    <r>
      <t>Total</t>
    </r>
    <r>
      <rPr>
        <b/>
        <vertAlign val="superscript"/>
        <sz val="10"/>
        <rFont val="Trebuchet MS"/>
        <family val="2"/>
      </rPr>
      <t>3</t>
    </r>
  </si>
  <si>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</si>
  <si>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</si>
  <si>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</si>
  <si>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</si>
  <si>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3. Percentages are an aggregate of a variety of match rates applied at different periods during the state fiscal year and for different </t>
  </si>
  <si>
    <t xml:space="preserve">     programs/activities.</t>
  </si>
  <si>
    <t>Table 5</t>
  </si>
  <si>
    <t>STATE FISCAL YEAR</t>
  </si>
  <si>
    <t>Change from Prior Year</t>
  </si>
  <si>
    <t>Eligibles Change from Prior Year</t>
  </si>
  <si>
    <t>Program Expenditures</t>
  </si>
  <si>
    <t>Administrative Expenditures</t>
  </si>
  <si>
    <t>SFY 2008</t>
  </si>
  <si>
    <t>SFY 2009</t>
  </si>
  <si>
    <t>SFY 2014*</t>
  </si>
  <si>
    <t>SFY 2015*</t>
  </si>
  <si>
    <t>SFY 2016*</t>
  </si>
  <si>
    <t>SFY 2017*</t>
  </si>
  <si>
    <t>Source: BD701 - State of NC General Ledger System Authorized Monthly Budget Report; Budget Code 14445, for periods ending June of each year.</t>
  </si>
  <si>
    <t>Note: the following amounts were included in the above figures in addition to the NCTRACKS payments:</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</si>
  <si>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</si>
  <si>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</si>
  <si>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</si>
  <si>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</si>
  <si>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</si>
  <si>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</si>
  <si>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</si>
  <si>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</si>
  <si>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</si>
  <si>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</si>
  <si>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MedSolution Claims Excluded</t>
  </si>
  <si>
    <r>
      <rPr>
        <b/>
        <sz val="11"/>
        <rFont val="Calibri"/>
        <family val="2"/>
      </rPr>
      <t>Note2</t>
    </r>
    <r>
      <rPr>
        <sz val="11"/>
        <rFont val="Calibri"/>
        <family val="2"/>
      </rPr>
      <t>: Med-Solution is not included.</t>
    </r>
  </si>
  <si>
    <r>
      <rPr>
        <b/>
        <sz val="11"/>
        <rFont val="Calibri"/>
        <family val="2"/>
      </rPr>
      <t>Note3</t>
    </r>
    <r>
      <rPr>
        <sz val="11"/>
        <rFont val="Calibri"/>
        <family val="2"/>
      </rPr>
      <t>: HealthChoice is not included.</t>
    </r>
  </si>
  <si>
    <t>Mental Hospital (&gt; 65) *</t>
  </si>
  <si>
    <t>Psychiatric Hospital (&lt; 21) *</t>
  </si>
  <si>
    <t>CAP/Mentally Retarded *</t>
  </si>
  <si>
    <t>High Risk Intervention Residential *</t>
  </si>
  <si>
    <t>Practitioner-Non Physician *</t>
  </si>
  <si>
    <t>Other Services *</t>
  </si>
  <si>
    <t>***** This line is needed for comparison point of view only</t>
  </si>
  <si>
    <t>Source: EJ752</t>
  </si>
  <si>
    <t>2. EJ752 Report.</t>
  </si>
  <si>
    <t>Note:</t>
  </si>
  <si>
    <t>Health Choice expenditures and eligibles are not included.</t>
  </si>
  <si>
    <t>2017-18</t>
  </si>
  <si>
    <t>Student, Health Care</t>
  </si>
  <si>
    <t>Run Date: 07/30/2018</t>
  </si>
  <si>
    <t>SFY 2018*</t>
  </si>
  <si>
    <t>2018 Expenditures per Recipient</t>
  </si>
  <si>
    <t>2017
Number of Recipients</t>
  </si>
  <si>
    <t>Grand Total Services without Part A and B *****</t>
  </si>
  <si>
    <t xml:space="preserve">Note1: Unduplicated number of recipients was obtained to reflect that the Medicaid recipient might have appeared more than once among the eligibility groups listed above. </t>
  </si>
  <si>
    <t xml:space="preserve">Note2: Medicare Part A&amp;B were excluded from this table. Also, Family Planning, Adjustments and Medsolution were excluded from this table.  </t>
  </si>
  <si>
    <t>*          By April 2013 all Counties were under the Behavioral Health HMO (The LMEs) – The 1915(b) Waiver for all Behavioral Health Services – Psych Hospitals, ICF/MR,  Mental Health Provides like Psychiatrist, Psychologist, Licensed Mental Health Nurses, Substance Abuse Counselors.</t>
  </si>
  <si>
    <t xml:space="preserve">Special  Pregnant  Women </t>
  </si>
  <si>
    <t>2018 
Number of Recipients</t>
  </si>
  <si>
    <t>SFY 2018</t>
  </si>
  <si>
    <r>
      <t xml:space="preserve">State Fiscal Year </t>
    </r>
    <r>
      <rPr>
        <b/>
        <sz val="12"/>
        <color theme="1"/>
        <rFont val="Trebuchet MS"/>
        <family val="2"/>
      </rPr>
      <t>2018</t>
    </r>
  </si>
  <si>
    <t>Note: This is a count of all NPI providers that have a claim in the SFY 2018</t>
  </si>
  <si>
    <t>State Fiscal Years 2010 - 2018</t>
  </si>
  <si>
    <t>State Fiscal Years 2008 - 2018</t>
  </si>
  <si>
    <t>State Fischal Years 1979 - 2018</t>
  </si>
  <si>
    <t xml:space="preserve">SFY 2017 -% of Total </t>
  </si>
  <si>
    <t xml:space="preserve">SFY 2018 -% of Total </t>
  </si>
  <si>
    <t>State Fiscal Year 2018</t>
  </si>
  <si>
    <t>2017 Est. County Population</t>
  </si>
  <si>
    <t>% of Medicaid Eligibles based on 2017 Population</t>
  </si>
  <si>
    <t>Expenditures SFY 2018</t>
  </si>
  <si>
    <t>SFY 2018 Expenditures Per Recipient</t>
  </si>
  <si>
    <t>SFY 2017 Expenditures Per Recipient</t>
  </si>
  <si>
    <t>SFY 2018 
% of Total Dollars</t>
  </si>
  <si>
    <t>SFY 2017 
% of Total Dollars</t>
  </si>
  <si>
    <t>SFY 2016 
% of Total Dollars</t>
  </si>
  <si>
    <t>SFY 2018
% of Total Dollars</t>
  </si>
  <si>
    <t xml:space="preserve">     DHB pays only the federal share.</t>
  </si>
  <si>
    <t>1.NCAnayltics Data warehouse (Encounter and Medsolution claims were excluded).</t>
  </si>
  <si>
    <r>
      <rPr>
        <b/>
        <sz val="11"/>
        <rFont val="Calibri"/>
        <family val="2"/>
      </rPr>
      <t>Note1:</t>
    </r>
    <r>
      <rPr>
        <sz val="11"/>
        <rFont val="Calibri"/>
        <family val="2"/>
      </rPr>
      <t xml:space="preserve"> Program Category Totals do not include adjustments processed by DHB settlements, disproportionate share costs and State and county administration costs and certified public funds in other agencies. </t>
    </r>
  </si>
  <si>
    <r>
      <rPr>
        <b/>
        <sz val="10"/>
        <rFont val="Calibri"/>
        <family val="2"/>
        <scheme val="minor"/>
      </rPr>
      <t xml:space="preserve">Source: </t>
    </r>
    <r>
      <rPr>
        <sz val="10"/>
        <rFont val="Calibri"/>
        <family val="2"/>
        <scheme val="minor"/>
      </rPr>
      <t xml:space="preserve"> SFY2018 NCAnaytics data warehouse</t>
    </r>
  </si>
  <si>
    <t>*HMO Premiums</t>
  </si>
  <si>
    <r>
      <rPr>
        <b/>
        <sz val="10"/>
        <color theme="1"/>
        <rFont val="Calibri"/>
        <family val="2"/>
        <scheme val="minor"/>
      </rPr>
      <t xml:space="preserve">Source: </t>
    </r>
    <r>
      <rPr>
        <sz val="10"/>
        <color theme="1"/>
        <rFont val="Calibri"/>
        <family val="2"/>
        <scheme val="minor"/>
      </rPr>
      <t xml:space="preserve"> </t>
    </r>
    <r>
      <rPr>
        <sz val="10"/>
        <rFont val="Calibri"/>
        <family val="2"/>
        <scheme val="minor"/>
      </rPr>
      <t>NCAnalytics data warehous</t>
    </r>
    <r>
      <rPr>
        <sz val="10"/>
        <color theme="1"/>
        <rFont val="Calibri"/>
        <family val="2"/>
        <scheme val="minor"/>
      </rPr>
      <t>e</t>
    </r>
  </si>
  <si>
    <t>Note: Program Category Totals do not include adjustments processed by DHB settlements, disproportionate share costs and State and county administration costs and certified public funds in other agencies.  Also, financial data reported in the PER originates from and relates to "claims paid" within MMIS.</t>
  </si>
  <si>
    <t>Expenditures Per Recipient</t>
  </si>
  <si>
    <t>Service Expenditures Per Recipient</t>
  </si>
  <si>
    <r>
      <rPr>
        <b/>
        <sz val="10"/>
        <color theme="1"/>
        <rFont val="Calibri"/>
        <family val="2"/>
        <scheme val="minor"/>
      </rPr>
      <t xml:space="preserve">Source: </t>
    </r>
    <r>
      <rPr>
        <sz val="10"/>
        <color theme="1"/>
        <rFont val="Calibri"/>
        <family val="2"/>
        <scheme val="minor"/>
      </rPr>
      <t xml:space="preserve"> NCAnalytics data warehouse</t>
    </r>
  </si>
  <si>
    <r>
      <rPr>
        <b/>
        <sz val="10"/>
        <color theme="1"/>
        <rFont val="Calibri"/>
        <family val="2"/>
        <scheme val="minor"/>
      </rPr>
      <t xml:space="preserve">Source: </t>
    </r>
    <r>
      <rPr>
        <sz val="10"/>
        <color theme="1"/>
        <rFont val="Calibri"/>
        <family val="2"/>
        <scheme val="minor"/>
      </rPr>
      <t xml:space="preserve"> NCAnalytics data warehouse </t>
    </r>
    <r>
      <rPr>
        <sz val="10"/>
        <color rgb="FFFF0000"/>
        <rFont val="Calibri"/>
        <family val="2"/>
        <scheme val="minor"/>
      </rPr>
      <t/>
    </r>
  </si>
  <si>
    <r>
      <t>Service Expenditures Per Recipien</t>
    </r>
    <r>
      <rPr>
        <b/>
        <sz val="10"/>
        <color theme="1"/>
        <rFont val="Trebuchet MS"/>
        <family val="2"/>
      </rPr>
      <t>t</t>
    </r>
  </si>
  <si>
    <r>
      <rPr>
        <b/>
        <sz val="10"/>
        <color theme="1"/>
        <rFont val="Calibri"/>
        <family val="2"/>
        <scheme val="minor"/>
      </rPr>
      <t xml:space="preserve">Source: </t>
    </r>
    <r>
      <rPr>
        <sz val="10"/>
        <color theme="1"/>
        <rFont val="Calibri"/>
        <family val="2"/>
        <scheme val="minor"/>
      </rPr>
      <t xml:space="preserve"> NCAnalytics data warehouse </t>
    </r>
  </si>
  <si>
    <t>2017 to 2018 % Change</t>
  </si>
  <si>
    <t>Source: NCAnayltics Data warehouse</t>
  </si>
  <si>
    <t>* eligibles change for SFY 2014 forward calculated based on NCAnalytics data warehouse.</t>
  </si>
  <si>
    <t xml:space="preserve">Source: </t>
  </si>
  <si>
    <t>Source: NCAnalytics data warehouse.</t>
  </si>
  <si>
    <t>Unduplicated total number of recipients</t>
  </si>
  <si>
    <r>
      <rPr>
        <b/>
        <sz val="11"/>
        <rFont val="Calibri"/>
        <family val="2"/>
      </rPr>
      <t>Note4</t>
    </r>
    <r>
      <rPr>
        <sz val="11"/>
        <rFont val="Calibri"/>
        <family val="2"/>
      </rPr>
      <t>: Recipients can appear in multiple services.</t>
    </r>
  </si>
  <si>
    <t>**       Includes individuals covered under SOBRA Pregnant Women policies or individuals age 21 &amp; over under TANF or AFDC-related coverage.</t>
  </si>
  <si>
    <t>Enrolled NC Medicaid Providers</t>
  </si>
  <si>
    <t>Sources of NC Medicaid Funds</t>
  </si>
  <si>
    <t>Program and Administrative Expenditures</t>
  </si>
  <si>
    <t>Annual Unduplicated NC Medicaid Eligibility</t>
  </si>
  <si>
    <t>NC Medicaid Eligibles and Expenditures by County</t>
  </si>
  <si>
    <t>NC Medicaid Expenditures by Type of Service</t>
  </si>
  <si>
    <t>NC Medicaid Service Expenditures by Eligibility Group</t>
  </si>
  <si>
    <t>NC Medicaid Service Expenditures by Service Category</t>
  </si>
  <si>
    <t>NC Medicaid Service Expenditures for the Elderly</t>
  </si>
  <si>
    <t>NC Medicaid Service Expenditures for the Disabled &amp; Blind</t>
  </si>
  <si>
    <t xml:space="preserve">NC Medicaid Service Expenditures for Families and Children </t>
  </si>
  <si>
    <t>NC Medicaid Service Expenditures for MedSolution, Alien &amp; Refugees, and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</si>
</sst>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 numFmtId="168" formatCode="0.0%"/>
    <numFmt numFmtId="169" formatCode="General_)"/>
    <numFmt numFmtId="170" formatCode="0.0%_);\(0.0%\)"/>
    <numFmt numFmtId="171" formatCode="0.000%"/>
    <numFmt numFmtId="172" formatCode="0.00%_);\(0.00%\)"/>
  </numFmts>
  <fonts count="62" x14ac:knownFonts="1">
    <font>
      <sz val="11"/>
      <color theme="1"/>
      <name val="Calibri"/>
      <family val="2"/>
      <scheme val="minor"/>
    </font>
    <font>
      <sz val="11"/>
      <color theme="1"/>
      <name val="Calibri"/>
      <family val="2"/>
      <scheme val="minor"/>
    </font>
    <font>
      <b/>
      <sz val="11"/>
      <color theme="1"/>
      <name val="Calibri"/>
      <family val="2"/>
      <scheme val="minor"/>
    </font>
    <font>
      <b/>
      <sz val="10"/>
      <name val="Trebuchet MS"/>
      <family val="2"/>
    </font>
    <font>
      <sz val="10"/>
      <name val="MS Sans Serif"/>
    </font>
    <font>
      <b/>
      <sz val="12"/>
      <name val="Trebuchet MS"/>
      <family val="2"/>
    </font>
    <font>
      <sz val="12"/>
      <name val="Trebuchet MS"/>
      <family val="2"/>
    </font>
    <font>
      <sz val="10"/>
      <color theme="1"/>
      <name val="Trebuchet MS"/>
      <family val="2"/>
    </font>
    <font>
      <b/>
      <sz val="14"/>
      <name val="Trebuchet MS"/>
      <family val="2"/>
    </font>
    <font>
      <sz val="14"/>
      <name val="Trebuchet MS"/>
      <family val="2"/>
    </font>
    <font>
      <sz val="10"/>
      <name val="Trebuchet MS"/>
      <family val="2"/>
    </font>
    <font>
      <b/>
      <sz val="10"/>
      <color theme="1"/>
      <name val="Trebuchet MS"/>
      <family val="2"/>
    </font>
    <font>
      <b/>
      <sz val="10"/>
      <color indexed="12"/>
      <name val="Trebuchet MS"/>
      <family val="2"/>
    </font>
    <font>
      <sz val="10"/>
      <name val="System"/>
    </font>
    <font>
      <sz val="11"/>
      <name val="Calibri"/>
      <family val="2"/>
    </font>
    <font>
      <b/>
      <sz val="8"/>
      <color indexed="12"/>
      <name val="Trebuchet MS"/>
      <family val="2"/>
    </font>
    <font>
      <sz val="8"/>
      <name val="Trebuchet MS"/>
      <family val="2"/>
    </font>
    <font>
      <sz val="12"/>
      <name val="Calibri"/>
      <family val="2"/>
    </font>
    <font>
      <b/>
      <sz val="11"/>
      <name val="Calibri"/>
      <family val="2"/>
    </font>
    <font>
      <b/>
      <sz val="11"/>
      <name val="Trebuchet MS"/>
      <family val="2"/>
    </font>
    <font>
      <sz val="11"/>
      <name val="Trebuchet MS"/>
      <family val="2"/>
    </font>
    <font>
      <sz val="10"/>
      <name val="Courier"/>
    </font>
    <font>
      <b/>
      <sz val="11"/>
      <color indexed="8"/>
      <name val="Trebuchet MS"/>
      <family val="2"/>
    </font>
    <font>
      <b/>
      <sz val="11"/>
      <color theme="1"/>
      <name val="Trebuchet MS"/>
      <family val="2"/>
    </font>
    <font>
      <sz val="11"/>
      <color theme="1"/>
      <name val="Trebuchet MS"/>
      <family val="2"/>
    </font>
    <font>
      <b/>
      <sz val="10"/>
      <color indexed="8"/>
      <name val="Trebuchet MS"/>
      <family val="2"/>
    </font>
    <font>
      <sz val="8"/>
      <color theme="1"/>
      <name val="Trebuchet MS"/>
      <family val="2"/>
    </font>
    <font>
      <sz val="10"/>
      <name val="Arial"/>
      <family val="2"/>
    </font>
    <font>
      <b/>
      <sz val="8"/>
      <name val="Trebuchet MS"/>
      <family val="2"/>
    </font>
    <font>
      <b/>
      <sz val="12"/>
      <color theme="1"/>
      <name val="Trebuchet MS"/>
      <family val="2"/>
    </font>
    <font>
      <sz val="12"/>
      <color theme="1"/>
      <name val="Trebuchet MS"/>
      <family val="2"/>
    </font>
    <font>
      <sz val="10"/>
      <color theme="1"/>
      <name val="Calibri"/>
      <family val="2"/>
      <scheme val="minor"/>
    </font>
    <font>
      <b/>
      <sz val="10"/>
      <color theme="1"/>
      <name val="Calibri"/>
      <family val="2"/>
      <scheme val="minor"/>
    </font>
    <font>
      <vertAlign val="superscript"/>
      <sz val="10"/>
      <name val="Trebuchet MS"/>
      <family val="2"/>
    </font>
    <font>
      <b/>
      <vertAlign val="superscript"/>
      <sz val="10"/>
      <name val="Trebuchet MS"/>
      <family val="2"/>
    </font>
    <font>
      <sz val="10"/>
      <name val="Times New Roman"/>
      <family val="1"/>
    </font>
    <font>
      <sz val="10"/>
      <color theme="1"/>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b/>
      <sz val="10"/>
      <color indexed="8"/>
      <name val="Calibri"/>
      <family val="2"/>
    </font>
    <font>
      <sz val="10"/>
      <color indexed="8"/>
      <name val="Trebuchet MS"/>
      <family val="2"/>
    </font>
    <font>
      <b/>
      <sz val="10"/>
      <name val="Calibri"/>
      <family val="2"/>
    </font>
    <font>
      <sz val="10"/>
      <color indexed="8"/>
      <name val="Calibri"/>
      <family val="2"/>
    </font>
    <font>
      <b/>
      <sz val="10"/>
      <color theme="1"/>
      <name val="Calibri"/>
      <family val="2"/>
    </font>
    <font>
      <sz val="10"/>
      <name val="Calibri"/>
      <family val="2"/>
    </font>
    <font>
      <sz val="10"/>
      <color theme="1"/>
      <name val="Calibri"/>
      <family val="2"/>
    </font>
    <font>
      <sz val="10"/>
      <color rgb="FFFF0000"/>
      <name val="Calibri"/>
      <family val="2"/>
      <scheme val="minor"/>
    </font>
    <font>
      <sz val="10"/>
      <name val="Calibri"/>
      <family val="2"/>
      <scheme val="minor"/>
    </font>
    <font>
      <b/>
      <sz val="10"/>
      <name val="Calibri"/>
      <family val="2"/>
      <scheme val="minor"/>
    </font>
  </fonts>
  <fills count="3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52">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 fillId="0" borderId="0"/>
    <xf numFmtId="0" fontId="13" fillId="0" borderId="0"/>
    <xf numFmtId="169" fontId="21" fillId="0" borderId="0" applyFill="0"/>
    <xf numFmtId="0" fontId="27" fillId="0" borderId="0"/>
    <xf numFmtId="0" fontId="4" fillId="0" borderId="0"/>
    <xf numFmtId="0" fontId="4" fillId="0" borderId="0"/>
    <xf numFmtId="0" fontId="27" fillId="0" borderId="0"/>
    <xf numFmtId="0" fontId="37" fillId="0" borderId="0" applyNumberFormat="0" applyFill="0" applyBorder="0" applyAlignment="0" applyProtection="0"/>
    <xf numFmtId="0" fontId="38" fillId="0" borderId="2" applyNumberFormat="0" applyFill="0" applyAlignment="0" applyProtection="0"/>
    <xf numFmtId="0" fontId="39" fillId="0" borderId="3" applyNumberFormat="0" applyFill="0" applyAlignment="0" applyProtection="0"/>
    <xf numFmtId="0" fontId="40" fillId="0" borderId="4" applyNumberFormat="0" applyFill="0" applyAlignment="0" applyProtection="0"/>
    <xf numFmtId="0" fontId="40" fillId="0" borderId="0" applyNumberFormat="0" applyFill="0" applyBorder="0" applyAlignment="0" applyProtection="0"/>
    <xf numFmtId="0" fontId="41" fillId="5" borderId="0" applyNumberFormat="0" applyBorder="0" applyAlignment="0" applyProtection="0"/>
    <xf numFmtId="0" fontId="42" fillId="6" borderId="0" applyNumberFormat="0" applyBorder="0" applyAlignment="0" applyProtection="0"/>
    <xf numFmtId="0" fontId="43" fillId="8" borderId="5" applyNumberFormat="0" applyAlignment="0" applyProtection="0"/>
    <xf numFmtId="0" fontId="44" fillId="9" borderId="6" applyNumberFormat="0" applyAlignment="0" applyProtection="0"/>
    <xf numFmtId="0" fontId="45" fillId="9" borderId="5" applyNumberFormat="0" applyAlignment="0" applyProtection="0"/>
    <xf numFmtId="0" fontId="46" fillId="0" borderId="7" applyNumberFormat="0" applyFill="0" applyAlignment="0" applyProtection="0"/>
    <xf numFmtId="0" fontId="47" fillId="10" borderId="8" applyNumberFormat="0" applyAlignment="0" applyProtection="0"/>
    <xf numFmtId="0" fontId="48" fillId="0" borderId="0" applyNumberFormat="0" applyFill="0" applyBorder="0" applyAlignment="0" applyProtection="0"/>
    <xf numFmtId="0" fontId="1" fillId="11" borderId="9" applyNumberFormat="0" applyFont="0" applyAlignment="0" applyProtection="0"/>
    <xf numFmtId="0" fontId="49" fillId="0" borderId="0" applyNumberFormat="0" applyFill="0" applyBorder="0" applyAlignment="0" applyProtection="0"/>
    <xf numFmtId="0" fontId="2" fillId="0" borderId="10" applyNumberFormat="0" applyFill="0" applyAlignment="0" applyProtection="0"/>
    <xf numFmtId="0" fontId="5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0"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1" fillId="7" borderId="0" applyNumberFormat="0" applyBorder="0" applyAlignment="0" applyProtection="0"/>
    <xf numFmtId="0" fontId="50" fillId="15" borderId="0" applyNumberFormat="0" applyBorder="0" applyAlignment="0" applyProtection="0"/>
    <xf numFmtId="0" fontId="50" fillId="19" borderId="0" applyNumberFormat="0" applyBorder="0" applyAlignment="0" applyProtection="0"/>
    <xf numFmtId="0" fontId="50" fillId="23" borderId="0" applyNumberFormat="0" applyBorder="0" applyAlignment="0" applyProtection="0"/>
    <xf numFmtId="0" fontId="50" fillId="27" borderId="0" applyNumberFormat="0" applyBorder="0" applyAlignment="0" applyProtection="0"/>
    <xf numFmtId="0" fontId="50" fillId="31" borderId="0" applyNumberFormat="0" applyBorder="0" applyAlignment="0" applyProtection="0"/>
    <xf numFmtId="0" fontId="50" fillId="35" borderId="0" applyNumberFormat="0" applyBorder="0" applyAlignment="0" applyProtection="0"/>
  </cellStyleXfs>
  <cellXfs count="483">
    <xf numFmtId="0" fontId="0" fillId="0" borderId="0" xfId="0"/>
    <xf numFmtId="0" fontId="2" fillId="0" borderId="0" xfId="0" applyFont="1"/>
    <xf numFmtId="164" fontId="1" fillId="0" borderId="0" xfId="1" applyNumberFormat="1" applyFont="1"/>
    <xf numFmtId="164" fontId="0" fillId="0" borderId="0" xfId="0" applyNumberFormat="1"/>
    <xf numFmtId="165" fontId="1" fillId="0" borderId="0" xfId="2" applyNumberFormat="1" applyFont="1"/>
    <xf numFmtId="164" fontId="0" fillId="0" borderId="0" xfId="1" applyNumberFormat="1" applyFont="1"/>
    <xf numFmtId="0" fontId="3" fillId="0" borderId="0" xfId="0" applyFont="1" applyBorder="1" applyAlignment="1">
      <alignment horizontal="left"/>
    </xf>
    <xf numFmtId="0" fontId="6" fillId="0" borderId="0" xfId="4" applyFont="1" applyFill="1" applyBorder="1" applyAlignment="1">
      <alignment horizontal="left"/>
    </xf>
    <xf numFmtId="4" fontId="3" fillId="0" borderId="1" xfId="4" applyNumberFormat="1" applyFont="1" applyFill="1" applyBorder="1" applyAlignment="1">
      <alignment horizontal="left" wrapText="1"/>
    </xf>
    <xf numFmtId="166" fontId="3" fillId="0" borderId="1" xfId="1" applyNumberFormat="1" applyFont="1" applyFill="1" applyBorder="1" applyAlignment="1">
      <alignment horizontal="right" wrapText="1"/>
    </xf>
    <xf numFmtId="10" fontId="3" fillId="0" borderId="1" xfId="4" applyNumberFormat="1" applyFont="1" applyFill="1" applyBorder="1" applyAlignment="1">
      <alignment horizontal="right" wrapText="1"/>
    </xf>
    <xf numFmtId="167" fontId="3" fillId="0" borderId="1" xfId="1" applyNumberFormat="1" applyFont="1" applyFill="1" applyBorder="1" applyAlignment="1">
      <alignment horizontal="right" wrapText="1"/>
    </xf>
    <xf numFmtId="0" fontId="7" fillId="0" borderId="0" xfId="0" applyFont="1" applyFill="1" applyBorder="1" applyAlignment="1">
      <alignment horizontal="right"/>
    </xf>
    <xf numFmtId="164" fontId="2" fillId="0" borderId="0" xfId="1" applyNumberFormat="1" applyFont="1" applyFill="1"/>
    <xf numFmtId="164" fontId="1" fillId="0" borderId="0" xfId="1" applyNumberFormat="1" applyFont="1" applyFill="1"/>
    <xf numFmtId="0" fontId="0" fillId="0" borderId="0" xfId="0" applyFill="1"/>
    <xf numFmtId="0" fontId="6" fillId="0" borderId="0" xfId="0" applyFont="1" applyFill="1" applyBorder="1"/>
    <xf numFmtId="0" fontId="8" fillId="0" borderId="0" xfId="0" applyFont="1" applyFill="1" applyBorder="1" applyAlignment="1">
      <alignment horizontal="left"/>
    </xf>
    <xf numFmtId="0" fontId="9" fillId="0" borderId="0" xfId="0" applyFont="1" applyFill="1" applyBorder="1" applyAlignment="1">
      <alignment horizontal="right"/>
    </xf>
    <xf numFmtId="0" fontId="9" fillId="0" borderId="0" xfId="0" applyFont="1" applyFill="1" applyBorder="1"/>
    <xf numFmtId="0" fontId="3" fillId="0" borderId="1" xfId="0" applyFont="1" applyFill="1" applyBorder="1" applyAlignment="1">
      <alignment horizontal="left" wrapText="1"/>
    </xf>
    <xf numFmtId="0" fontId="3" fillId="0" borderId="1" xfId="0" applyFont="1" applyFill="1" applyBorder="1" applyAlignment="1">
      <alignment horizontal="right" wrapText="1"/>
    </xf>
    <xf numFmtId="168" fontId="3" fillId="0" borderId="1" xfId="0" applyNumberFormat="1" applyFont="1" applyFill="1" applyBorder="1" applyAlignment="1">
      <alignment horizontal="right" wrapText="1"/>
    </xf>
    <xf numFmtId="0" fontId="3" fillId="0" borderId="0" xfId="0" applyFont="1" applyFill="1" applyBorder="1" applyAlignment="1">
      <alignment wrapText="1"/>
    </xf>
    <xf numFmtId="0" fontId="10" fillId="0" borderId="0" xfId="0" applyNumberFormat="1" applyFont="1" applyFill="1" applyBorder="1" applyAlignment="1">
      <alignment horizontal="left" indent="1"/>
    </xf>
    <xf numFmtId="168" fontId="10" fillId="0" borderId="0" xfId="0" applyNumberFormat="1" applyFont="1" applyFill="1" applyBorder="1" applyAlignment="1">
      <alignment horizontal="right"/>
    </xf>
    <xf numFmtId="166" fontId="10" fillId="0" borderId="0" xfId="0" applyNumberFormat="1" applyFont="1" applyFill="1" applyBorder="1" applyAlignment="1">
      <alignment horizontal="right"/>
    </xf>
    <xf numFmtId="166" fontId="10" fillId="0" borderId="0" xfId="1" applyNumberFormat="1" applyFont="1" applyFill="1" applyBorder="1" applyAlignment="1">
      <alignment horizontal="right"/>
    </xf>
    <xf numFmtId="0" fontId="10" fillId="0" borderId="0" xfId="0" applyFont="1" applyFill="1" applyBorder="1"/>
    <xf numFmtId="0" fontId="10" fillId="0" borderId="0" xfId="0" applyFont="1" applyFill="1" applyBorder="1" applyAlignment="1">
      <alignment horizontal="left" indent="1"/>
    </xf>
    <xf numFmtId="0" fontId="3" fillId="0" borderId="0" xfId="0" applyFont="1" applyFill="1" applyBorder="1" applyAlignment="1">
      <alignment horizontal="left"/>
    </xf>
    <xf numFmtId="166" fontId="3" fillId="0" borderId="0" xfId="1" applyNumberFormat="1" applyFont="1" applyFill="1" applyBorder="1" applyAlignment="1">
      <alignment horizontal="right"/>
    </xf>
    <xf numFmtId="168" fontId="3" fillId="0" borderId="0" xfId="0" applyNumberFormat="1" applyFont="1" applyFill="1" applyBorder="1" applyAlignment="1">
      <alignment horizontal="right"/>
    </xf>
    <xf numFmtId="165"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11" fillId="0" borderId="0" xfId="1" applyNumberFormat="1" applyFont="1" applyFill="1" applyBorder="1" applyAlignment="1">
      <alignment horizontal="right"/>
    </xf>
    <xf numFmtId="0" fontId="10" fillId="0" borderId="0" xfId="0" applyFont="1" applyFill="1" applyBorder="1" applyAlignment="1">
      <alignment horizontal="left"/>
    </xf>
    <xf numFmtId="165" fontId="10" fillId="0" borderId="0" xfId="0" applyNumberFormat="1" applyFont="1" applyFill="1" applyBorder="1" applyAlignment="1">
      <alignment horizontal="right"/>
    </xf>
    <xf numFmtId="0" fontId="3" fillId="0" borderId="0" xfId="0" applyFont="1" applyFill="1" applyBorder="1"/>
    <xf numFmtId="165" fontId="10" fillId="0" borderId="0" xfId="2" quotePrefix="1" applyNumberFormat="1" applyFont="1" applyFill="1" applyBorder="1" applyAlignment="1">
      <alignment horizontal="right"/>
    </xf>
    <xf numFmtId="3" fontId="3" fillId="0" borderId="0" xfId="0" applyNumberFormat="1" applyFont="1" applyFill="1" applyBorder="1" applyAlignment="1">
      <alignment horizontal="right"/>
    </xf>
    <xf numFmtId="168" fontId="12" fillId="0" borderId="0" xfId="0" applyNumberFormat="1" applyFont="1" applyFill="1" applyBorder="1" applyAlignment="1">
      <alignment horizontal="right"/>
    </xf>
    <xf numFmtId="164" fontId="3" fillId="0" borderId="0" xfId="1" applyNumberFormat="1" applyFont="1" applyFill="1" applyBorder="1" applyAlignment="1">
      <alignment horizontal="right"/>
    </xf>
    <xf numFmtId="0" fontId="3" fillId="0" borderId="0" xfId="5" applyFont="1" applyFill="1" applyBorder="1" applyAlignment="1">
      <alignment horizontal="left"/>
    </xf>
    <xf numFmtId="165" fontId="2" fillId="0" borderId="0" xfId="2" applyNumberFormat="1" applyFont="1" applyFill="1"/>
    <xf numFmtId="3" fontId="10" fillId="0" borderId="0" xfId="0" applyNumberFormat="1" applyFont="1" applyFill="1" applyBorder="1" applyAlignment="1">
      <alignment horizontal="right"/>
    </xf>
    <xf numFmtId="0" fontId="14" fillId="0" borderId="0" xfId="0" applyFont="1" applyFill="1" applyBorder="1" applyAlignment="1">
      <alignment horizontal="left"/>
    </xf>
    <xf numFmtId="0" fontId="14" fillId="0" borderId="0" xfId="0" applyFont="1" applyFill="1"/>
    <xf numFmtId="168" fontId="15" fillId="0" borderId="0" xfId="0" applyNumberFormat="1" applyFont="1" applyFill="1" applyBorder="1" applyAlignment="1">
      <alignment horizontal="right"/>
    </xf>
    <xf numFmtId="0" fontId="16" fillId="0" borderId="0" xfId="0" applyFont="1" applyFill="1" applyBorder="1"/>
    <xf numFmtId="0" fontId="18" fillId="0" borderId="0" xfId="0" applyFont="1" applyFill="1" applyBorder="1"/>
    <xf numFmtId="0" fontId="14" fillId="0" borderId="0" xfId="0" applyFont="1" applyFill="1" applyBorder="1"/>
    <xf numFmtId="165" fontId="14" fillId="0" borderId="0" xfId="0" applyNumberFormat="1" applyFont="1" applyFill="1" applyBorder="1"/>
    <xf numFmtId="164" fontId="18" fillId="0" borderId="0" xfId="0" applyNumberFormat="1" applyFont="1" applyFill="1" applyBorder="1"/>
    <xf numFmtId="0" fontId="19" fillId="0" borderId="0" xfId="5" applyFont="1" applyFill="1" applyBorder="1" applyAlignment="1">
      <alignment horizontal="left"/>
    </xf>
    <xf numFmtId="0" fontId="20" fillId="0" borderId="0" xfId="0" applyFont="1" applyFill="1" applyBorder="1" applyAlignment="1">
      <alignment horizontal="right"/>
    </xf>
    <xf numFmtId="165" fontId="19" fillId="0" borderId="0" xfId="0" applyNumberFormat="1" applyFont="1" applyFill="1" applyBorder="1" applyAlignment="1">
      <alignment horizontal="right"/>
    </xf>
    <xf numFmtId="0" fontId="19" fillId="0" borderId="0" xfId="0" applyFont="1" applyFill="1" applyBorder="1" applyAlignment="1">
      <alignment horizontal="right"/>
    </xf>
    <xf numFmtId="168" fontId="19" fillId="0" borderId="0" xfId="0" applyNumberFormat="1" applyFont="1" applyFill="1" applyBorder="1" applyAlignment="1">
      <alignment horizontal="right"/>
    </xf>
    <xf numFmtId="0" fontId="20" fillId="0" borderId="0" xfId="0" applyFont="1" applyFill="1" applyBorder="1"/>
    <xf numFmtId="0" fontId="20" fillId="0" borderId="0" xfId="0" applyFont="1" applyFill="1" applyBorder="1" applyAlignment="1">
      <alignment horizontal="left"/>
    </xf>
    <xf numFmtId="0" fontId="19" fillId="0" borderId="0" xfId="5" applyFont="1" applyFill="1" applyBorder="1" applyAlignment="1">
      <alignment horizontal="right"/>
    </xf>
    <xf numFmtId="0" fontId="23" fillId="0" borderId="0" xfId="0" applyFont="1" applyFill="1" applyAlignment="1">
      <alignment horizontal="right" wrapText="1"/>
    </xf>
    <xf numFmtId="0" fontId="23" fillId="0" borderId="0" xfId="0" applyFont="1" applyFill="1" applyAlignment="1">
      <alignment horizontal="center" wrapText="1"/>
    </xf>
    <xf numFmtId="166" fontId="24" fillId="0" borderId="0" xfId="1" applyNumberFormat="1" applyFont="1" applyBorder="1"/>
    <xf numFmtId="165" fontId="24" fillId="0" borderId="0" xfId="2" applyNumberFormat="1" applyFont="1" applyBorder="1"/>
    <xf numFmtId="168" fontId="24" fillId="0" borderId="0" xfId="3" applyNumberFormat="1" applyFont="1" applyBorder="1"/>
    <xf numFmtId="0" fontId="24" fillId="0" borderId="0" xfId="0" applyFont="1"/>
    <xf numFmtId="0" fontId="24" fillId="0" borderId="0" xfId="0" applyFont="1" applyBorder="1"/>
    <xf numFmtId="164" fontId="24" fillId="0" borderId="0" xfId="1" applyNumberFormat="1" applyFont="1" applyBorder="1"/>
    <xf numFmtId="165" fontId="2" fillId="0" borderId="0" xfId="0" applyNumberFormat="1" applyFont="1"/>
    <xf numFmtId="0" fontId="25" fillId="3" borderId="0" xfId="0" applyNumberFormat="1" applyFont="1" applyFill="1" applyBorder="1" applyAlignment="1" applyProtection="1">
      <alignment horizontal="left" wrapText="1"/>
    </xf>
    <xf numFmtId="165" fontId="11" fillId="0" borderId="0" xfId="2" applyNumberFormat="1" applyFont="1" applyBorder="1" applyAlignment="1">
      <alignment horizontal="right"/>
    </xf>
    <xf numFmtId="0" fontId="11" fillId="0" borderId="0" xfId="0" applyFont="1" applyBorder="1"/>
    <xf numFmtId="0" fontId="24" fillId="0" borderId="0" xfId="0" applyFont="1" applyBorder="1" applyAlignment="1">
      <alignment horizontal="left"/>
    </xf>
    <xf numFmtId="0" fontId="26" fillId="0" borderId="0" xfId="0" applyFont="1" applyBorder="1"/>
    <xf numFmtId="0" fontId="26" fillId="0" borderId="0" xfId="0" applyFont="1" applyFill="1" applyBorder="1"/>
    <xf numFmtId="164" fontId="26" fillId="0" borderId="0" xfId="1" applyNumberFormat="1" applyFont="1" applyFill="1" applyBorder="1"/>
    <xf numFmtId="165" fontId="24" fillId="0" borderId="0" xfId="2" applyNumberFormat="1" applyFont="1"/>
    <xf numFmtId="164" fontId="24" fillId="0" borderId="0" xfId="1" applyNumberFormat="1" applyFont="1"/>
    <xf numFmtId="10" fontId="24" fillId="0" borderId="0" xfId="3" applyNumberFormat="1" applyFont="1"/>
    <xf numFmtId="0" fontId="24" fillId="0" borderId="0" xfId="0" applyFont="1" applyAlignment="1">
      <alignment horizontal="left"/>
    </xf>
    <xf numFmtId="0" fontId="23" fillId="0" borderId="0" xfId="0" applyFont="1" applyBorder="1"/>
    <xf numFmtId="0" fontId="23" fillId="0" borderId="0" xfId="0" applyFont="1"/>
    <xf numFmtId="0" fontId="3" fillId="0" borderId="0" xfId="0" applyFont="1" applyBorder="1"/>
    <xf numFmtId="0" fontId="10" fillId="0" borderId="0" xfId="0" quotePrefix="1" applyNumberFormat="1" applyFont="1" applyBorder="1"/>
    <xf numFmtId="0" fontId="3" fillId="0" borderId="0" xfId="0" quotePrefix="1" applyNumberFormat="1" applyFont="1" applyBorder="1"/>
    <xf numFmtId="3" fontId="3" fillId="0" borderId="1" xfId="0" applyNumberFormat="1" applyFont="1" applyFill="1" applyBorder="1" applyAlignment="1">
      <alignment horizontal="right" wrapText="1"/>
    </xf>
    <xf numFmtId="4" fontId="3" fillId="0" borderId="1" xfId="0" applyNumberFormat="1" applyFont="1" applyFill="1" applyBorder="1" applyAlignment="1">
      <alignment horizontal="left" wrapText="1"/>
    </xf>
    <xf numFmtId="164" fontId="3" fillId="0" borderId="1" xfId="1" applyNumberFormat="1" applyFont="1" applyFill="1" applyBorder="1" applyAlignment="1">
      <alignment horizontal="right" wrapText="1"/>
    </xf>
    <xf numFmtId="0" fontId="30" fillId="0" borderId="0" xfId="0" applyFont="1" applyBorder="1"/>
    <xf numFmtId="0" fontId="30" fillId="0" borderId="0" xfId="0" applyFont="1"/>
    <xf numFmtId="3" fontId="5" fillId="0" borderId="0" xfId="0" applyNumberFormat="1" applyFont="1" applyBorder="1" applyAlignment="1">
      <alignment horizontal="center"/>
    </xf>
    <xf numFmtId="0" fontId="5" fillId="0" borderId="0" xfId="0" applyFont="1" applyBorder="1"/>
    <xf numFmtId="168" fontId="2" fillId="0" borderId="0" xfId="0" applyNumberFormat="1" applyFont="1"/>
    <xf numFmtId="0" fontId="3" fillId="0" borderId="0" xfId="0" applyNumberFormat="1" applyFont="1" applyBorder="1"/>
    <xf numFmtId="165" fontId="11" fillId="0" borderId="0" xfId="2" applyNumberFormat="1" applyFont="1" applyBorder="1"/>
    <xf numFmtId="3" fontId="5" fillId="0" borderId="0" xfId="4" applyNumberFormat="1" applyFont="1" applyFill="1" applyBorder="1" applyAlignment="1">
      <alignment horizontal="left"/>
    </xf>
    <xf numFmtId="0" fontId="3" fillId="0" borderId="0" xfId="4" applyFont="1" applyFill="1" applyBorder="1" applyAlignment="1">
      <alignment horizontal="left"/>
    </xf>
    <xf numFmtId="0" fontId="3" fillId="0" borderId="0" xfId="4" applyFont="1" applyFill="1" applyBorder="1"/>
    <xf numFmtId="0" fontId="10" fillId="0" borderId="0" xfId="0" quotePrefix="1" applyNumberFormat="1" applyFont="1" applyFill="1" applyBorder="1"/>
    <xf numFmtId="0" fontId="7" fillId="0" borderId="0" xfId="0" applyFont="1" applyFill="1" applyBorder="1"/>
    <xf numFmtId="49" fontId="11" fillId="0" borderId="0" xfId="0" applyNumberFormat="1" applyFont="1" applyFill="1" applyBorder="1"/>
    <xf numFmtId="164" fontId="0" fillId="0" borderId="0" xfId="0" applyNumberFormat="1" applyFill="1"/>
    <xf numFmtId="164" fontId="2" fillId="0" borderId="0" xfId="0" applyNumberFormat="1" applyFont="1" applyFill="1"/>
    <xf numFmtId="0" fontId="2" fillId="0" borderId="0" xfId="0" applyFont="1" applyFill="1"/>
    <xf numFmtId="170" fontId="7" fillId="0" borderId="0" xfId="0" applyNumberFormat="1" applyFont="1" applyFill="1" applyBorder="1"/>
    <xf numFmtId="170" fontId="11" fillId="0" borderId="0" xfId="0" applyNumberFormat="1" applyFont="1" applyFill="1" applyBorder="1"/>
    <xf numFmtId="170" fontId="7" fillId="0" borderId="1" xfId="0" applyNumberFormat="1" applyFont="1" applyFill="1" applyBorder="1"/>
    <xf numFmtId="0" fontId="26" fillId="0" borderId="0" xfId="0" applyFont="1" applyFill="1" applyBorder="1" applyAlignment="1">
      <alignment vertical="center"/>
    </xf>
    <xf numFmtId="166" fontId="26" fillId="0" borderId="0" xfId="1" applyNumberFormat="1" applyFont="1" applyFill="1" applyBorder="1"/>
    <xf numFmtId="167" fontId="26" fillId="0" borderId="0" xfId="1" applyNumberFormat="1" applyFont="1" applyFill="1" applyBorder="1"/>
    <xf numFmtId="0" fontId="16" fillId="0" borderId="0" xfId="4" applyFont="1" applyFill="1" applyBorder="1" applyAlignment="1">
      <alignment horizontal="left"/>
    </xf>
    <xf numFmtId="166" fontId="16" fillId="0" borderId="0" xfId="4" applyNumberFormat="1" applyFont="1" applyFill="1" applyBorder="1" applyAlignment="1">
      <alignment horizontal="center"/>
    </xf>
    <xf numFmtId="168" fontId="16" fillId="0" borderId="0" xfId="4" applyNumberFormat="1" applyFont="1" applyFill="1" applyBorder="1" applyAlignment="1">
      <alignment horizontal="center"/>
    </xf>
    <xf numFmtId="167" fontId="16" fillId="0" borderId="0" xfId="4" applyNumberFormat="1" applyFont="1" applyFill="1" applyBorder="1" applyAlignment="1">
      <alignment horizontal="center"/>
    </xf>
    <xf numFmtId="167" fontId="16" fillId="0" borderId="0" xfId="4" applyNumberFormat="1" applyFont="1" applyFill="1" applyBorder="1"/>
    <xf numFmtId="167" fontId="16" fillId="0" borderId="0" xfId="1" applyNumberFormat="1" applyFont="1" applyFill="1" applyBorder="1"/>
    <xf numFmtId="0" fontId="16" fillId="0" borderId="0" xfId="4" applyFont="1" applyFill="1" applyBorder="1"/>
    <xf numFmtId="167" fontId="28" fillId="0" borderId="0" xfId="4" applyNumberFormat="1" applyFont="1" applyFill="1" applyBorder="1" applyAlignment="1">
      <alignment horizontal="right"/>
    </xf>
    <xf numFmtId="166" fontId="16" fillId="0" borderId="0" xfId="1" applyNumberFormat="1" applyFont="1" applyFill="1" applyBorder="1"/>
    <xf numFmtId="10" fontId="16" fillId="0" borderId="0" xfId="4" applyNumberFormat="1" applyFont="1" applyFill="1" applyBorder="1"/>
    <xf numFmtId="0" fontId="31" fillId="0" borderId="0" xfId="0" applyFont="1"/>
    <xf numFmtId="49" fontId="3" fillId="0" borderId="1" xfId="0" applyNumberFormat="1" applyFont="1" applyFill="1" applyBorder="1" applyAlignment="1">
      <alignment horizontal="left" wrapText="1"/>
    </xf>
    <xf numFmtId="4" fontId="3" fillId="0" borderId="0" xfId="0" applyNumberFormat="1" applyFont="1" applyFill="1" applyBorder="1" applyAlignment="1">
      <alignment horizontal="left"/>
    </xf>
    <xf numFmtId="164" fontId="3" fillId="0" borderId="0" xfId="1" applyNumberFormat="1" applyFont="1" applyFill="1" applyBorder="1" applyAlignment="1">
      <alignment horizontal="left"/>
    </xf>
    <xf numFmtId="164" fontId="28" fillId="0" borderId="0" xfId="1" applyNumberFormat="1" applyFont="1" applyFill="1" applyBorder="1" applyAlignment="1">
      <alignment horizontal="right"/>
    </xf>
    <xf numFmtId="168" fontId="15" fillId="0" borderId="0" xfId="1" applyNumberFormat="1" applyFont="1" applyFill="1" applyBorder="1" applyAlignment="1">
      <alignment horizontal="right"/>
    </xf>
    <xf numFmtId="3" fontId="28" fillId="0" borderId="0" xfId="0" applyNumberFormat="1" applyFont="1" applyFill="1" applyBorder="1" applyAlignment="1">
      <alignment horizontal="right"/>
    </xf>
    <xf numFmtId="168" fontId="28" fillId="0" borderId="0" xfId="3" applyNumberFormat="1" applyFont="1" applyFill="1" applyBorder="1" applyAlignment="1">
      <alignment horizontal="right"/>
    </xf>
    <xf numFmtId="0" fontId="16" fillId="0" borderId="0" xfId="0" applyFont="1" applyFill="1" applyBorder="1" applyAlignment="1">
      <alignment horizontal="right"/>
    </xf>
    <xf numFmtId="164" fontId="16" fillId="0" borderId="0" xfId="1" applyNumberFormat="1" applyFont="1" applyFill="1" applyBorder="1" applyAlignment="1">
      <alignment horizontal="right"/>
    </xf>
    <xf numFmtId="9" fontId="16" fillId="0" borderId="0" xfId="3" applyFont="1" applyFill="1" applyBorder="1" applyAlignment="1">
      <alignment horizontal="right"/>
    </xf>
    <xf numFmtId="164" fontId="16" fillId="0" borderId="0" xfId="1" applyNumberFormat="1" applyFont="1" applyFill="1" applyBorder="1"/>
    <xf numFmtId="168" fontId="19" fillId="0" borderId="0" xfId="0" applyNumberFormat="1" applyFont="1" applyFill="1" applyBorder="1" applyAlignment="1">
      <alignment horizontal="left"/>
    </xf>
    <xf numFmtId="168" fontId="3" fillId="0" borderId="1" xfId="4" applyNumberFormat="1" applyFont="1" applyFill="1" applyBorder="1" applyAlignment="1">
      <alignment horizontal="right" wrapText="1"/>
    </xf>
    <xf numFmtId="168" fontId="28" fillId="0" borderId="0" xfId="1" applyNumberFormat="1" applyFont="1" applyFill="1" applyBorder="1" applyAlignment="1">
      <alignment horizontal="right"/>
    </xf>
    <xf numFmtId="168" fontId="28" fillId="0" borderId="0" xfId="0" applyNumberFormat="1" applyFont="1" applyFill="1" applyBorder="1" applyAlignment="1">
      <alignment horizontal="right"/>
    </xf>
    <xf numFmtId="0" fontId="6" fillId="0" borderId="0" xfId="8" applyFont="1" applyFill="1" applyBorder="1"/>
    <xf numFmtId="4" fontId="19" fillId="0" borderId="0" xfId="8" applyNumberFormat="1" applyFont="1" applyFill="1" applyBorder="1" applyAlignment="1">
      <alignment horizontal="left"/>
    </xf>
    <xf numFmtId="0" fontId="20" fillId="0" borderId="0" xfId="8" applyFont="1" applyFill="1" applyBorder="1"/>
    <xf numFmtId="49" fontId="3" fillId="0" borderId="1" xfId="8" applyNumberFormat="1" applyFont="1" applyFill="1" applyBorder="1" applyAlignment="1">
      <alignment horizontal="left" wrapText="1"/>
    </xf>
    <xf numFmtId="49" fontId="3" fillId="0" borderId="1" xfId="8" applyNumberFormat="1" applyFont="1" applyFill="1" applyBorder="1" applyAlignment="1">
      <alignment horizontal="right"/>
    </xf>
    <xf numFmtId="168" fontId="3" fillId="0" borderId="1" xfId="8" applyNumberFormat="1" applyFont="1" applyFill="1" applyBorder="1" applyAlignment="1">
      <alignment horizontal="right" wrapText="1"/>
    </xf>
    <xf numFmtId="49" fontId="3" fillId="0" borderId="1" xfId="8" applyNumberFormat="1" applyFont="1" applyFill="1" applyBorder="1" applyAlignment="1">
      <alignment horizontal="right" wrapText="1"/>
    </xf>
    <xf numFmtId="0" fontId="3" fillId="0" borderId="0" xfId="8" applyFont="1" applyFill="1" applyBorder="1" applyAlignment="1">
      <alignment horizontal="right"/>
    </xf>
    <xf numFmtId="0" fontId="3" fillId="0" borderId="0" xfId="8" applyFont="1" applyFill="1" applyBorder="1" applyAlignment="1">
      <alignment horizontal="left"/>
    </xf>
    <xf numFmtId="0" fontId="10" fillId="0" borderId="0" xfId="0" quotePrefix="1" applyNumberFormat="1" applyFont="1" applyFill="1" applyBorder="1" applyAlignment="1">
      <alignment horizontal="left"/>
    </xf>
    <xf numFmtId="49" fontId="7" fillId="0" borderId="0" xfId="0" applyNumberFormat="1" applyFont="1" applyBorder="1" applyAlignment="1">
      <alignment horizontal="left"/>
    </xf>
    <xf numFmtId="49" fontId="7" fillId="0" borderId="0" xfId="0" applyNumberFormat="1" applyFont="1" applyFill="1" applyBorder="1" applyAlignment="1">
      <alignment horizontal="left"/>
    </xf>
    <xf numFmtId="49" fontId="11" fillId="0" borderId="0" xfId="0" applyNumberFormat="1" applyFont="1" applyFill="1" applyBorder="1" applyAlignment="1">
      <alignment horizontal="left"/>
    </xf>
    <xf numFmtId="164" fontId="1" fillId="0" borderId="0" xfId="1" applyNumberFormat="1" applyFont="1" applyFill="1" applyBorder="1"/>
    <xf numFmtId="0" fontId="16" fillId="0" borderId="0" xfId="0" applyFont="1" applyFill="1" applyBorder="1" applyAlignment="1">
      <alignment horizontal="left"/>
    </xf>
    <xf numFmtId="164" fontId="16" fillId="0" borderId="0" xfId="1" applyNumberFormat="1" applyFont="1" applyFill="1" applyBorder="1" applyAlignment="1">
      <alignment horizontal="center"/>
    </xf>
    <xf numFmtId="164" fontId="0" fillId="0" borderId="0" xfId="1" applyNumberFormat="1" applyFont="1" applyFill="1"/>
    <xf numFmtId="168" fontId="0" fillId="0" borderId="0" xfId="3" applyNumberFormat="1" applyFont="1" applyFill="1"/>
    <xf numFmtId="168" fontId="0" fillId="0" borderId="0" xfId="1" applyNumberFormat="1" applyFont="1" applyFill="1"/>
    <xf numFmtId="168" fontId="0" fillId="0" borderId="0" xfId="0" applyNumberFormat="1" applyFill="1"/>
    <xf numFmtId="0" fontId="31" fillId="0" borderId="0" xfId="0" applyFont="1" applyFill="1"/>
    <xf numFmtId="165" fontId="2" fillId="0" borderId="0" xfId="0" applyNumberFormat="1" applyFont="1" applyFill="1"/>
    <xf numFmtId="168" fontId="0" fillId="0" borderId="0" xfId="0" applyNumberFormat="1" applyFill="1" applyBorder="1"/>
    <xf numFmtId="0" fontId="6" fillId="0" borderId="0" xfId="7" applyFont="1" applyFill="1" applyBorder="1"/>
    <xf numFmtId="0" fontId="8" fillId="0" borderId="0" xfId="7" applyFont="1" applyFill="1" applyBorder="1" applyAlignment="1">
      <alignment horizontal="left"/>
    </xf>
    <xf numFmtId="0" fontId="8" fillId="0" borderId="0" xfId="7" applyFont="1" applyFill="1" applyBorder="1" applyAlignment="1">
      <alignment horizontal="right"/>
    </xf>
    <xf numFmtId="0" fontId="20" fillId="0" borderId="0" xfId="7" applyFont="1" applyFill="1" applyBorder="1"/>
    <xf numFmtId="0" fontId="3" fillId="0" borderId="0" xfId="7" applyFont="1" applyFill="1" applyBorder="1" applyAlignment="1">
      <alignment horizontal="left" wrapText="1"/>
    </xf>
    <xf numFmtId="0" fontId="3" fillId="0" borderId="0" xfId="7" applyFont="1" applyFill="1" applyBorder="1" applyAlignment="1">
      <alignment horizontal="right" wrapText="1"/>
    </xf>
    <xf numFmtId="0" fontId="3" fillId="0" borderId="0" xfId="7" applyFont="1" applyFill="1" applyBorder="1" applyAlignment="1">
      <alignment wrapText="1"/>
    </xf>
    <xf numFmtId="0" fontId="10" fillId="0" borderId="0" xfId="7" applyFont="1" applyFill="1" applyBorder="1" applyAlignment="1">
      <alignment horizontal="left"/>
    </xf>
    <xf numFmtId="3" fontId="10" fillId="0" borderId="0" xfId="7" applyNumberFormat="1" applyFont="1" applyFill="1" applyBorder="1" applyAlignment="1">
      <alignment horizontal="right"/>
    </xf>
    <xf numFmtId="10" fontId="10" fillId="0" borderId="0" xfId="7" applyNumberFormat="1" applyFont="1" applyFill="1" applyBorder="1" applyAlignment="1">
      <alignment horizontal="right"/>
    </xf>
    <xf numFmtId="0" fontId="10" fillId="0" borderId="0" xfId="7" applyFont="1" applyBorder="1"/>
    <xf numFmtId="3" fontId="10" fillId="0" borderId="0" xfId="7" applyNumberFormat="1" applyFont="1" applyBorder="1"/>
    <xf numFmtId="0" fontId="10" fillId="0" borderId="0" xfId="7" applyFont="1" applyBorder="1" applyAlignment="1">
      <alignment horizontal="left" wrapText="1"/>
    </xf>
    <xf numFmtId="168" fontId="10" fillId="0" borderId="0" xfId="7" applyNumberFormat="1" applyFont="1" applyBorder="1" applyAlignment="1">
      <alignment horizontal="right"/>
    </xf>
    <xf numFmtId="0" fontId="10" fillId="0" borderId="0" xfId="7" applyFont="1" applyBorder="1" applyAlignment="1">
      <alignment horizontal="right"/>
    </xf>
    <xf numFmtId="0" fontId="20" fillId="0" borderId="0" xfId="7" applyFont="1" applyBorder="1" applyAlignment="1">
      <alignment horizontal="right"/>
    </xf>
    <xf numFmtId="0" fontId="20" fillId="0" borderId="0" xfId="7" applyFont="1" applyBorder="1"/>
    <xf numFmtId="168" fontId="20" fillId="0" borderId="0" xfId="7" applyNumberFormat="1" applyFont="1" applyBorder="1" applyAlignment="1">
      <alignment horizontal="right"/>
    </xf>
    <xf numFmtId="10" fontId="20" fillId="0" borderId="0" xfId="7" applyNumberFormat="1" applyFont="1" applyBorder="1" applyAlignment="1">
      <alignment horizontal="right"/>
    </xf>
    <xf numFmtId="0" fontId="16" fillId="0" borderId="0" xfId="7" applyFont="1" applyFill="1" applyBorder="1" applyAlignment="1">
      <alignment horizontal="left"/>
    </xf>
    <xf numFmtId="0" fontId="16" fillId="0" borderId="0" xfId="7" applyFont="1" applyBorder="1" applyAlignment="1">
      <alignment horizontal="right"/>
    </xf>
    <xf numFmtId="0" fontId="16" fillId="0" borderId="0" xfId="7" applyFont="1" applyBorder="1"/>
    <xf numFmtId="0" fontId="16" fillId="0" borderId="0" xfId="7" applyFont="1" applyBorder="1" applyAlignment="1">
      <alignment horizontal="left"/>
    </xf>
    <xf numFmtId="0" fontId="20" fillId="0" borderId="0" xfId="7" applyFont="1" applyBorder="1" applyAlignment="1">
      <alignment horizontal="left"/>
    </xf>
    <xf numFmtId="0" fontId="9" fillId="0" borderId="0" xfId="10" applyFont="1" applyBorder="1"/>
    <xf numFmtId="0" fontId="8" fillId="0" borderId="0" xfId="10" applyFont="1" applyBorder="1" applyAlignment="1">
      <alignment horizontal="left"/>
    </xf>
    <xf numFmtId="0" fontId="10" fillId="0" borderId="0" xfId="10" applyFont="1" applyBorder="1" applyAlignment="1">
      <alignment horizontal="center"/>
    </xf>
    <xf numFmtId="0" fontId="10" fillId="0" borderId="0" xfId="10" applyFont="1" applyBorder="1"/>
    <xf numFmtId="0" fontId="3" fillId="0" borderId="0" xfId="10" applyFont="1" applyBorder="1"/>
    <xf numFmtId="0" fontId="10" fillId="0" borderId="0" xfId="10" applyFont="1" applyBorder="1" applyAlignment="1">
      <alignment horizontal="right"/>
    </xf>
    <xf numFmtId="166" fontId="10" fillId="0" borderId="0" xfId="10" applyNumberFormat="1" applyFont="1" applyBorder="1"/>
    <xf numFmtId="167" fontId="10" fillId="0" borderId="0" xfId="10" applyNumberFormat="1" applyFont="1" applyBorder="1"/>
    <xf numFmtId="168" fontId="10" fillId="0" borderId="0" xfId="10" applyNumberFormat="1" applyFont="1" applyBorder="1" applyAlignment="1">
      <alignment horizontal="right"/>
    </xf>
    <xf numFmtId="0" fontId="3" fillId="0" borderId="0" xfId="10" applyFont="1" applyBorder="1" applyAlignment="1">
      <alignment horizontal="left"/>
    </xf>
    <xf numFmtId="0" fontId="16" fillId="0" borderId="0" xfId="10" applyFont="1" applyBorder="1" applyAlignment="1">
      <alignment horizontal="center"/>
    </xf>
    <xf numFmtId="0" fontId="16" fillId="0" borderId="0" xfId="10" applyFont="1" applyBorder="1"/>
    <xf numFmtId="0" fontId="16" fillId="0" borderId="0" xfId="10" applyFont="1" applyBorder="1" applyAlignment="1">
      <alignment horizontal="right"/>
    </xf>
    <xf numFmtId="166" fontId="16" fillId="0" borderId="0" xfId="10" applyNumberFormat="1" applyFont="1" applyBorder="1" applyAlignment="1">
      <alignment horizontal="right"/>
    </xf>
    <xf numFmtId="0" fontId="20" fillId="0" borderId="0" xfId="10" applyFont="1" applyBorder="1"/>
    <xf numFmtId="0" fontId="20" fillId="0" borderId="0" xfId="10" applyFont="1" applyBorder="1" applyAlignment="1">
      <alignment horizontal="right"/>
    </xf>
    <xf numFmtId="0" fontId="5" fillId="0" borderId="0" xfId="10" applyFont="1"/>
    <xf numFmtId="0" fontId="6" fillId="0" borderId="0" xfId="10" applyFont="1" applyBorder="1"/>
    <xf numFmtId="0" fontId="10" fillId="0" borderId="0" xfId="10" applyFont="1"/>
    <xf numFmtId="0" fontId="10" fillId="0" borderId="0" xfId="10" applyFont="1" applyAlignment="1">
      <alignment horizontal="right"/>
    </xf>
    <xf numFmtId="0" fontId="3" fillId="0" borderId="1" xfId="10" applyFont="1" applyBorder="1" applyAlignment="1">
      <alignment horizontal="left" wrapText="1"/>
    </xf>
    <xf numFmtId="0" fontId="3" fillId="0" borderId="1" xfId="10" applyFont="1" applyBorder="1" applyAlignment="1">
      <alignment horizontal="right" wrapText="1"/>
    </xf>
    <xf numFmtId="0" fontId="3" fillId="0" borderId="0" xfId="10" applyFont="1" applyBorder="1" applyAlignment="1">
      <alignment wrapText="1"/>
    </xf>
    <xf numFmtId="0" fontId="10" fillId="0" borderId="0" xfId="10" applyFont="1" applyAlignment="1"/>
    <xf numFmtId="0" fontId="10" fillId="0" borderId="0" xfId="10" applyFont="1" applyAlignment="1">
      <alignment horizontal="right" wrapText="1"/>
    </xf>
    <xf numFmtId="0" fontId="10" fillId="0" borderId="0" xfId="10" applyFont="1" applyAlignment="1">
      <alignment wrapText="1"/>
    </xf>
    <xf numFmtId="0" fontId="35" fillId="0" borderId="0" xfId="10" applyFont="1"/>
    <xf numFmtId="10" fontId="35" fillId="0" borderId="0" xfId="10" applyNumberFormat="1" applyFont="1"/>
    <xf numFmtId="166" fontId="35" fillId="0" borderId="0" xfId="10" applyNumberFormat="1" applyFont="1"/>
    <xf numFmtId="0" fontId="31" fillId="0" borderId="0" xfId="0" applyFont="1" applyAlignment="1">
      <alignment vertical="center"/>
    </xf>
    <xf numFmtId="10" fontId="36" fillId="0" borderId="0" xfId="10" applyNumberFormat="1" applyFont="1"/>
    <xf numFmtId="0" fontId="36" fillId="0" borderId="0" xfId="10" applyFont="1"/>
    <xf numFmtId="0" fontId="20" fillId="0" borderId="0" xfId="10" applyFont="1"/>
    <xf numFmtId="0" fontId="20" fillId="0" borderId="0" xfId="10" applyFont="1" applyAlignment="1">
      <alignment horizontal="right"/>
    </xf>
    <xf numFmtId="164" fontId="17" fillId="0" borderId="0" xfId="1" applyNumberFormat="1" applyFont="1"/>
    <xf numFmtId="0" fontId="17" fillId="0" borderId="0" xfId="4" applyFont="1"/>
    <xf numFmtId="168" fontId="0" fillId="0" borderId="0" xfId="3" applyNumberFormat="1" applyFont="1"/>
    <xf numFmtId="0" fontId="14" fillId="0" borderId="0" xfId="0" applyFont="1" applyAlignment="1">
      <alignment horizontal="left" wrapText="1"/>
    </xf>
    <xf numFmtId="0" fontId="14" fillId="0" borderId="0" xfId="0" applyFont="1" applyAlignment="1">
      <alignment horizontal="left"/>
    </xf>
    <xf numFmtId="0" fontId="16" fillId="0" borderId="0" xfId="0" applyFont="1" applyFill="1" applyBorder="1" applyAlignment="1">
      <alignment horizontal="left" wrapText="1"/>
    </xf>
    <xf numFmtId="0" fontId="16" fillId="0" borderId="0" xfId="0" applyFont="1" applyFill="1" applyBorder="1" applyAlignment="1"/>
    <xf numFmtId="3" fontId="1" fillId="0" borderId="0" xfId="2" applyNumberFormat="1" applyFont="1"/>
    <xf numFmtId="0" fontId="6" fillId="0" borderId="0" xfId="9" applyFont="1" applyBorder="1"/>
    <xf numFmtId="0" fontId="5" fillId="0" borderId="0" xfId="9" applyNumberFormat="1" applyFont="1" applyFill="1" applyBorder="1" applyAlignment="1">
      <alignment horizontal="left"/>
    </xf>
    <xf numFmtId="0" fontId="6" fillId="0" borderId="0" xfId="9" applyFont="1" applyFill="1" applyBorder="1"/>
    <xf numFmtId="0" fontId="24" fillId="0" borderId="0" xfId="0" applyFont="1" applyFill="1" applyBorder="1"/>
    <xf numFmtId="0" fontId="11" fillId="0" borderId="1" xfId="0" applyFont="1" applyFill="1" applyBorder="1" applyAlignment="1">
      <alignment horizontal="left"/>
    </xf>
    <xf numFmtId="165" fontId="11" fillId="0" borderId="1" xfId="2" applyNumberFormat="1" applyFont="1" applyFill="1" applyBorder="1" applyAlignment="1">
      <alignment horizontal="right" wrapText="1"/>
    </xf>
    <xf numFmtId="49" fontId="7" fillId="0" borderId="0" xfId="0" applyNumberFormat="1" applyFont="1"/>
    <xf numFmtId="165" fontId="7" fillId="0" borderId="0" xfId="2" applyNumberFormat="1" applyFont="1"/>
    <xf numFmtId="49" fontId="7" fillId="0" borderId="1" xfId="0" applyNumberFormat="1" applyFont="1" applyBorder="1"/>
    <xf numFmtId="165" fontId="7" fillId="0" borderId="1" xfId="2" applyNumberFormat="1" applyFont="1" applyBorder="1"/>
    <xf numFmtId="49" fontId="11" fillId="0" borderId="0" xfId="0" applyNumberFormat="1" applyFont="1"/>
    <xf numFmtId="0" fontId="7" fillId="0" borderId="0" xfId="0" applyFont="1"/>
    <xf numFmtId="165" fontId="7" fillId="0" borderId="0" xfId="2" applyNumberFormat="1" applyFont="1" applyBorder="1"/>
    <xf numFmtId="165" fontId="25" fillId="3" borderId="0" xfId="2" applyNumberFormat="1" applyFont="1" applyFill="1" applyBorder="1" applyAlignment="1" applyProtection="1">
      <alignment horizontal="right" wrapText="1"/>
    </xf>
    <xf numFmtId="164" fontId="11" fillId="0" borderId="0" xfId="1" applyNumberFormat="1" applyFont="1" applyBorder="1"/>
    <xf numFmtId="0" fontId="7" fillId="0" borderId="0" xfId="0" applyFont="1" applyBorder="1" applyAlignment="1">
      <alignment horizontal="left"/>
    </xf>
    <xf numFmtId="0" fontId="7" fillId="0" borderId="0" xfId="0" applyFont="1" applyBorder="1"/>
    <xf numFmtId="164" fontId="7" fillId="0" borderId="0" xfId="1" applyNumberFormat="1" applyFont="1" applyBorder="1"/>
    <xf numFmtId="3" fontId="52" fillId="2" borderId="0" xfId="6" applyNumberFormat="1" applyFont="1" applyFill="1" applyBorder="1" applyAlignment="1" applyProtection="1">
      <alignment horizontal="left"/>
      <protection locked="0"/>
    </xf>
    <xf numFmtId="166" fontId="11" fillId="0" borderId="0" xfId="1" applyNumberFormat="1" applyFont="1" applyBorder="1"/>
    <xf numFmtId="169" fontId="52" fillId="2" borderId="0" xfId="6" applyFont="1" applyFill="1" applyBorder="1" applyAlignment="1" applyProtection="1">
      <alignment horizontal="left"/>
      <protection locked="0"/>
    </xf>
    <xf numFmtId="3" fontId="5" fillId="4" borderId="0" xfId="0" applyNumberFormat="1" applyFont="1" applyFill="1" applyBorder="1" applyAlignment="1">
      <alignment horizontal="left"/>
    </xf>
    <xf numFmtId="3" fontId="5" fillId="0" borderId="0" xfId="0" applyNumberFormat="1" applyFont="1" applyFill="1" applyBorder="1" applyAlignment="1">
      <alignment horizontal="left"/>
    </xf>
    <xf numFmtId="164" fontId="5" fillId="0" borderId="0" xfId="1" applyNumberFormat="1" applyFont="1" applyFill="1" applyBorder="1" applyAlignment="1">
      <alignment horizontal="left"/>
    </xf>
    <xf numFmtId="3" fontId="5" fillId="0" borderId="0" xfId="0" applyNumberFormat="1" applyFont="1" applyFill="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3" fillId="0" borderId="0" xfId="0" applyFont="1" applyFill="1" applyAlignment="1">
      <alignment horizontal="center"/>
    </xf>
    <xf numFmtId="0" fontId="10" fillId="0" borderId="0" xfId="0" applyFont="1" applyFill="1" applyAlignment="1">
      <alignment horizontal="center"/>
    </xf>
    <xf numFmtId="49" fontId="7" fillId="0" borderId="0" xfId="0" applyNumberFormat="1" applyFont="1" applyBorder="1"/>
    <xf numFmtId="166" fontId="7" fillId="0" borderId="0" xfId="1" applyNumberFormat="1" applyFont="1" applyBorder="1"/>
    <xf numFmtId="168" fontId="7" fillId="0" borderId="0" xfId="3" applyNumberFormat="1" applyFont="1" applyBorder="1"/>
    <xf numFmtId="168" fontId="10" fillId="0" borderId="0" xfId="1" quotePrefix="1" applyNumberFormat="1" applyFont="1" applyBorder="1"/>
    <xf numFmtId="165" fontId="7" fillId="0" borderId="0" xfId="0" applyNumberFormat="1" applyFont="1" applyBorder="1"/>
    <xf numFmtId="166" fontId="7" fillId="0" borderId="1" xfId="1" applyNumberFormat="1" applyFont="1" applyBorder="1"/>
    <xf numFmtId="168" fontId="7" fillId="0" borderId="1" xfId="3" applyNumberFormat="1" applyFont="1" applyBorder="1"/>
    <xf numFmtId="168" fontId="10" fillId="0" borderId="1" xfId="1" quotePrefix="1" applyNumberFormat="1" applyFont="1" applyBorder="1"/>
    <xf numFmtId="165" fontId="7" fillId="0" borderId="1" xfId="0" applyNumberFormat="1" applyFont="1" applyBorder="1"/>
    <xf numFmtId="166" fontId="11" fillId="0" borderId="0" xfId="0" applyNumberFormat="1" applyFont="1" applyBorder="1"/>
    <xf numFmtId="168" fontId="11" fillId="0" borderId="0" xfId="3" applyNumberFormat="1" applyFont="1" applyBorder="1"/>
    <xf numFmtId="168" fontId="3" fillId="0" borderId="0" xfId="1" quotePrefix="1" applyNumberFormat="1" applyFont="1" applyBorder="1"/>
    <xf numFmtId="0" fontId="11" fillId="0" borderId="0" xfId="0" applyFont="1"/>
    <xf numFmtId="167" fontId="7" fillId="0" borderId="0" xfId="1" applyNumberFormat="1" applyFont="1" applyBorder="1"/>
    <xf numFmtId="164" fontId="3" fillId="0" borderId="0" xfId="0" quotePrefix="1" applyNumberFormat="1" applyFont="1" applyBorder="1"/>
    <xf numFmtId="166" fontId="7" fillId="0" borderId="0" xfId="1" applyNumberFormat="1" applyFont="1" applyFill="1" applyBorder="1"/>
    <xf numFmtId="0" fontId="7" fillId="0" borderId="1" xfId="0" applyFont="1" applyBorder="1"/>
    <xf numFmtId="164" fontId="7" fillId="0" borderId="1" xfId="1" applyNumberFormat="1" applyFont="1" applyBorder="1"/>
    <xf numFmtId="164" fontId="3" fillId="0" borderId="0" xfId="0" applyNumberFormat="1" applyFont="1" applyBorder="1"/>
    <xf numFmtId="9" fontId="11" fillId="0" borderId="0" xfId="3" applyFont="1" applyBorder="1"/>
    <xf numFmtId="166" fontId="0" fillId="0" borderId="0" xfId="0" applyNumberFormat="1"/>
    <xf numFmtId="166" fontId="7" fillId="0" borderId="0" xfId="1" applyNumberFormat="1" applyFont="1" applyBorder="1" applyAlignment="1">
      <alignment horizontal="right"/>
    </xf>
    <xf numFmtId="165" fontId="7" fillId="0" borderId="0" xfId="2" applyNumberFormat="1" applyFont="1" applyBorder="1" applyAlignment="1">
      <alignment horizontal="right"/>
    </xf>
    <xf numFmtId="166" fontId="10" fillId="0" borderId="0" xfId="2" applyNumberFormat="1" applyFont="1" applyFill="1" applyBorder="1" applyAlignment="1">
      <alignment horizontal="right"/>
    </xf>
    <xf numFmtId="165" fontId="7" fillId="0" borderId="0" xfId="2" applyNumberFormat="1" applyFont="1" applyFill="1" applyBorder="1" applyAlignment="1">
      <alignment horizontal="right"/>
    </xf>
    <xf numFmtId="165" fontId="24" fillId="0" borderId="0" xfId="2" applyNumberFormat="1" applyFont="1" applyBorder="1" applyAlignment="1">
      <alignment horizontal="right"/>
    </xf>
    <xf numFmtId="164" fontId="24" fillId="0" borderId="0" xfId="1" applyNumberFormat="1" applyFont="1" applyBorder="1" applyAlignment="1">
      <alignment horizontal="right"/>
    </xf>
    <xf numFmtId="0" fontId="20" fillId="0" borderId="0" xfId="4" applyFont="1" applyFill="1" applyBorder="1" applyAlignment="1">
      <alignment horizontal="left"/>
    </xf>
    <xf numFmtId="166" fontId="20" fillId="0" borderId="0" xfId="1" applyNumberFormat="1" applyFont="1" applyFill="1" applyBorder="1"/>
    <xf numFmtId="10" fontId="20" fillId="0" borderId="0" xfId="4" applyNumberFormat="1" applyFont="1" applyFill="1" applyBorder="1" applyAlignment="1">
      <alignment horizontal="center"/>
    </xf>
    <xf numFmtId="167" fontId="20" fillId="0" borderId="0" xfId="1" applyNumberFormat="1" applyFont="1" applyFill="1" applyBorder="1"/>
    <xf numFmtId="0" fontId="20" fillId="0" borderId="0" xfId="4" applyFont="1" applyFill="1" applyBorder="1"/>
    <xf numFmtId="166" fontId="11" fillId="0" borderId="0" xfId="1" applyNumberFormat="1" applyFont="1" applyFill="1" applyBorder="1"/>
    <xf numFmtId="167" fontId="7" fillId="0" borderId="0" xfId="0" applyNumberFormat="1" applyFont="1" applyFill="1" applyBorder="1"/>
    <xf numFmtId="167" fontId="7" fillId="0" borderId="0" xfId="1" applyNumberFormat="1" applyFont="1" applyFill="1" applyBorder="1"/>
    <xf numFmtId="167" fontId="10" fillId="0" borderId="0" xfId="0" quotePrefix="1" applyNumberFormat="1" applyFont="1" applyFill="1" applyBorder="1"/>
    <xf numFmtId="166" fontId="7" fillId="0" borderId="0" xfId="0" applyNumberFormat="1" applyFont="1" applyFill="1" applyBorder="1"/>
    <xf numFmtId="166" fontId="11" fillId="0" borderId="0" xfId="0" applyNumberFormat="1" applyFont="1" applyFill="1" applyBorder="1"/>
    <xf numFmtId="0" fontId="11" fillId="0" borderId="0" xfId="0" applyFont="1" applyFill="1" applyBorder="1"/>
    <xf numFmtId="164" fontId="7" fillId="0" borderId="0" xfId="1" applyNumberFormat="1" applyFont="1" applyFill="1" applyBorder="1"/>
    <xf numFmtId="0" fontId="6" fillId="0" borderId="0" xfId="0" applyFont="1" applyBorder="1"/>
    <xf numFmtId="0" fontId="19" fillId="0" borderId="0" xfId="0" applyFont="1" applyFill="1" applyBorder="1" applyAlignment="1">
      <alignment horizontal="left"/>
    </xf>
    <xf numFmtId="164" fontId="3" fillId="0" borderId="0" xfId="1" applyNumberFormat="1" applyFont="1" applyFill="1" applyBorder="1" applyAlignment="1">
      <alignment horizontal="right" wrapText="1"/>
    </xf>
    <xf numFmtId="168" fontId="7" fillId="0" borderId="0" xfId="3" applyNumberFormat="1" applyFont="1" applyBorder="1" applyAlignment="1">
      <alignment horizontal="right"/>
    </xf>
    <xf numFmtId="170" fontId="7" fillId="0" borderId="0" xfId="0" applyNumberFormat="1" applyFont="1" applyBorder="1" applyAlignment="1">
      <alignment horizontal="right"/>
    </xf>
    <xf numFmtId="170" fontId="10" fillId="0" borderId="0" xfId="1" quotePrefix="1" applyNumberFormat="1" applyFont="1" applyBorder="1" applyAlignment="1">
      <alignment horizontal="right"/>
    </xf>
    <xf numFmtId="166" fontId="7" fillId="0" borderId="1" xfId="1" applyNumberFormat="1" applyFont="1" applyBorder="1" applyAlignment="1">
      <alignment horizontal="right"/>
    </xf>
    <xf numFmtId="168" fontId="7" fillId="0" borderId="1" xfId="3" applyNumberFormat="1" applyFont="1" applyBorder="1" applyAlignment="1">
      <alignment horizontal="right"/>
    </xf>
    <xf numFmtId="170" fontId="7" fillId="0" borderId="1" xfId="0" applyNumberFormat="1" applyFont="1" applyBorder="1" applyAlignment="1">
      <alignment horizontal="right"/>
    </xf>
    <xf numFmtId="0" fontId="3" fillId="0" borderId="0" xfId="4" applyFont="1" applyBorder="1" applyAlignment="1">
      <alignment horizontal="left"/>
    </xf>
    <xf numFmtId="166" fontId="11" fillId="0" borderId="0" xfId="1" applyNumberFormat="1" applyFont="1" applyBorder="1" applyAlignment="1">
      <alignment horizontal="right"/>
    </xf>
    <xf numFmtId="168" fontId="11" fillId="0" borderId="0" xfId="3" applyNumberFormat="1" applyFont="1" applyBorder="1" applyAlignment="1">
      <alignment horizontal="right"/>
    </xf>
    <xf numFmtId="170" fontId="11" fillId="0" borderId="0" xfId="0" applyNumberFormat="1" applyFont="1" applyBorder="1" applyAlignment="1">
      <alignment horizontal="right"/>
    </xf>
    <xf numFmtId="10" fontId="7" fillId="0" borderId="0" xfId="3" applyNumberFormat="1" applyFont="1" applyBorder="1" applyAlignment="1">
      <alignment horizontal="right"/>
    </xf>
    <xf numFmtId="166" fontId="7" fillId="0" borderId="0" xfId="1" applyNumberFormat="1" applyFont="1" applyFill="1" applyBorder="1" applyAlignment="1">
      <alignment horizontal="right"/>
    </xf>
    <xf numFmtId="49" fontId="11" fillId="0" borderId="0" xfId="0" applyNumberFormat="1" applyFont="1" applyBorder="1"/>
    <xf numFmtId="164" fontId="7" fillId="0" borderId="0" xfId="1" applyNumberFormat="1" applyFont="1" applyBorder="1" applyAlignment="1">
      <alignment horizontal="right"/>
    </xf>
    <xf numFmtId="9" fontId="7" fillId="0" borderId="0" xfId="3" applyFont="1" applyBorder="1" applyAlignment="1">
      <alignment horizontal="right"/>
    </xf>
    <xf numFmtId="164" fontId="7" fillId="0" borderId="0" xfId="0" applyNumberFormat="1" applyFont="1" applyBorder="1" applyAlignment="1">
      <alignment horizontal="right"/>
    </xf>
    <xf numFmtId="0" fontId="7" fillId="0" borderId="0" xfId="0" applyFont="1" applyBorder="1" applyAlignment="1">
      <alignment horizontal="right"/>
    </xf>
    <xf numFmtId="9" fontId="11" fillId="0" borderId="0" xfId="3" applyFont="1" applyBorder="1" applyAlignment="1">
      <alignment horizontal="right"/>
    </xf>
    <xf numFmtId="0" fontId="11" fillId="0" borderId="0" xfId="0" applyFont="1" applyBorder="1" applyAlignment="1">
      <alignment horizontal="right"/>
    </xf>
    <xf numFmtId="3" fontId="3" fillId="0" borderId="0" xfId="0" applyNumberFormat="1" applyFont="1" applyFill="1" applyBorder="1" applyAlignment="1">
      <alignment horizontal="left"/>
    </xf>
    <xf numFmtId="166" fontId="11" fillId="0" borderId="0" xfId="3" applyNumberFormat="1" applyFont="1" applyBorder="1" applyAlignment="1">
      <alignment horizontal="right"/>
    </xf>
    <xf numFmtId="166" fontId="7" fillId="0" borderId="0" xfId="0" applyNumberFormat="1" applyFont="1" applyBorder="1" applyAlignment="1">
      <alignment horizontal="right"/>
    </xf>
    <xf numFmtId="166" fontId="11" fillId="0" borderId="0" xfId="0" applyNumberFormat="1" applyFont="1" applyBorder="1" applyAlignment="1">
      <alignment horizontal="right"/>
    </xf>
    <xf numFmtId="0" fontId="16" fillId="0" borderId="0" xfId="0" applyFont="1" applyBorder="1" applyAlignment="1">
      <alignment horizontal="left"/>
    </xf>
    <xf numFmtId="164" fontId="16" fillId="0" borderId="0" xfId="1" applyNumberFormat="1" applyFont="1" applyBorder="1" applyAlignment="1">
      <alignment horizontal="right"/>
    </xf>
    <xf numFmtId="9" fontId="16" fillId="0" borderId="0" xfId="3" applyFont="1" applyBorder="1" applyAlignment="1">
      <alignment horizontal="right"/>
    </xf>
    <xf numFmtId="0" fontId="26" fillId="0" borderId="0" xfId="0" applyFont="1" applyBorder="1" applyAlignment="1">
      <alignment horizontal="right"/>
    </xf>
    <xf numFmtId="9" fontId="26" fillId="0" borderId="0" xfId="3" applyFont="1" applyBorder="1" applyAlignment="1">
      <alignment horizontal="right"/>
    </xf>
    <xf numFmtId="165" fontId="26" fillId="0" borderId="0" xfId="2" applyNumberFormat="1" applyFont="1" applyBorder="1" applyAlignment="1">
      <alignment horizontal="right"/>
    </xf>
    <xf numFmtId="164" fontId="26" fillId="0" borderId="0" xfId="1" applyNumberFormat="1" applyFont="1" applyBorder="1" applyAlignment="1">
      <alignment horizontal="right"/>
    </xf>
    <xf numFmtId="0" fontId="24" fillId="0" borderId="0" xfId="0" applyFont="1" applyBorder="1" applyAlignment="1">
      <alignment horizontal="right"/>
    </xf>
    <xf numFmtId="9" fontId="24" fillId="0" borderId="0" xfId="3" applyFont="1" applyBorder="1" applyAlignment="1">
      <alignment horizontal="right"/>
    </xf>
    <xf numFmtId="168" fontId="7" fillId="0" borderId="0" xfId="1" applyNumberFormat="1" applyFont="1" applyBorder="1" applyAlignment="1">
      <alignment horizontal="right"/>
    </xf>
    <xf numFmtId="168" fontId="7" fillId="0" borderId="0" xfId="0" applyNumberFormat="1" applyFont="1" applyBorder="1" applyAlignment="1">
      <alignment horizontal="right"/>
    </xf>
    <xf numFmtId="168" fontId="10" fillId="0" borderId="0" xfId="0" quotePrefix="1" applyNumberFormat="1" applyFont="1" applyBorder="1" applyAlignment="1">
      <alignment horizontal="right"/>
    </xf>
    <xf numFmtId="168" fontId="7" fillId="0" borderId="1" xfId="1" applyNumberFormat="1" applyFont="1" applyBorder="1" applyAlignment="1">
      <alignment horizontal="right"/>
    </xf>
    <xf numFmtId="168" fontId="7" fillId="0" borderId="1" xfId="0" applyNumberFormat="1" applyFont="1" applyBorder="1" applyAlignment="1">
      <alignment horizontal="right"/>
    </xf>
    <xf numFmtId="168" fontId="11" fillId="0" borderId="1" xfId="0" applyNumberFormat="1" applyFont="1" applyBorder="1" applyAlignment="1">
      <alignment horizontal="right"/>
    </xf>
    <xf numFmtId="4" fontId="3" fillId="0" borderId="0" xfId="0" applyNumberFormat="1" applyFont="1" applyBorder="1" applyAlignment="1">
      <alignment horizontal="left"/>
    </xf>
    <xf numFmtId="168" fontId="11" fillId="0" borderId="0" xfId="1" applyNumberFormat="1" applyFont="1" applyBorder="1" applyAlignment="1">
      <alignment horizontal="right"/>
    </xf>
    <xf numFmtId="168" fontId="11" fillId="0" borderId="0" xfId="0" applyNumberFormat="1" applyFont="1" applyBorder="1" applyAlignment="1">
      <alignment horizontal="right"/>
    </xf>
    <xf numFmtId="172" fontId="11" fillId="0" borderId="0" xfId="0" applyNumberFormat="1" applyFont="1" applyBorder="1"/>
    <xf numFmtId="168" fontId="3" fillId="0" borderId="0" xfId="0" applyNumberFormat="1" applyFont="1" applyBorder="1"/>
    <xf numFmtId="172" fontId="7" fillId="0" borderId="0" xfId="0" applyNumberFormat="1" applyFont="1" applyBorder="1"/>
    <xf numFmtId="168" fontId="10" fillId="0" borderId="0" xfId="0" applyNumberFormat="1" applyFont="1" applyBorder="1"/>
    <xf numFmtId="164" fontId="11" fillId="0" borderId="0" xfId="0" applyNumberFormat="1" applyFont="1" applyBorder="1" applyAlignment="1">
      <alignment horizontal="right"/>
    </xf>
    <xf numFmtId="165" fontId="11" fillId="0" borderId="0" xfId="0" applyNumberFormat="1" applyFont="1" applyBorder="1" applyAlignment="1">
      <alignment horizontal="right"/>
    </xf>
    <xf numFmtId="168" fontId="16" fillId="0" borderId="0" xfId="0" applyNumberFormat="1" applyFont="1" applyBorder="1" applyAlignment="1">
      <alignment horizontal="right"/>
    </xf>
    <xf numFmtId="164" fontId="26" fillId="0" borderId="0" xfId="0" applyNumberFormat="1" applyFont="1" applyBorder="1" applyAlignment="1">
      <alignment horizontal="right"/>
    </xf>
    <xf numFmtId="168" fontId="26" fillId="0" borderId="0" xfId="0" applyNumberFormat="1" applyFont="1" applyBorder="1" applyAlignment="1">
      <alignment horizontal="right"/>
    </xf>
    <xf numFmtId="168" fontId="26" fillId="0" borderId="0" xfId="1" applyNumberFormat="1" applyFont="1" applyBorder="1" applyAlignment="1">
      <alignment horizontal="right"/>
    </xf>
    <xf numFmtId="170" fontId="7" fillId="0" borderId="0" xfId="1" applyNumberFormat="1" applyFont="1" applyBorder="1"/>
    <xf numFmtId="170" fontId="7" fillId="0" borderId="1" xfId="1" applyNumberFormat="1" applyFont="1" applyBorder="1"/>
    <xf numFmtId="170" fontId="11" fillId="0" borderId="0" xfId="1" applyNumberFormat="1" applyFont="1" applyBorder="1"/>
    <xf numFmtId="170" fontId="11" fillId="0" borderId="0" xfId="3" applyNumberFormat="1" applyFont="1" applyBorder="1"/>
    <xf numFmtId="172" fontId="11" fillId="0" borderId="0" xfId="1" applyNumberFormat="1" applyFont="1" applyBorder="1"/>
    <xf numFmtId="164" fontId="7" fillId="0" borderId="0" xfId="0" applyNumberFormat="1" applyFont="1" applyBorder="1"/>
    <xf numFmtId="168" fontId="16" fillId="0" borderId="0" xfId="0" applyNumberFormat="1" applyFont="1" applyFill="1" applyBorder="1" applyAlignment="1">
      <alignment horizontal="center"/>
    </xf>
    <xf numFmtId="164" fontId="26" fillId="0" borderId="0" xfId="0" applyNumberFormat="1" applyFont="1" applyFill="1" applyBorder="1"/>
    <xf numFmtId="4" fontId="5" fillId="0" borderId="0" xfId="8" applyNumberFormat="1" applyFont="1" applyFill="1" applyBorder="1" applyAlignment="1">
      <alignment horizontal="left"/>
    </xf>
    <xf numFmtId="0" fontId="5" fillId="0" borderId="0" xfId="8" applyFont="1" applyFill="1" applyBorder="1" applyAlignment="1">
      <alignment horizontal="left"/>
    </xf>
    <xf numFmtId="44" fontId="1" fillId="0" borderId="0" xfId="1" applyFont="1" applyFill="1"/>
    <xf numFmtId="166" fontId="1" fillId="0" borderId="0" xfId="1" applyNumberFormat="1" applyFont="1" applyFill="1"/>
    <xf numFmtId="166" fontId="1" fillId="0" borderId="0" xfId="1" applyNumberFormat="1" applyFont="1"/>
    <xf numFmtId="166" fontId="1" fillId="0" borderId="1" xfId="1" applyNumberFormat="1" applyFont="1" applyFill="1" applyBorder="1"/>
    <xf numFmtId="166" fontId="2" fillId="0" borderId="0" xfId="1" applyNumberFormat="1" applyFont="1" applyFill="1"/>
    <xf numFmtId="0" fontId="6" fillId="4" borderId="0" xfId="4" applyFont="1" applyFill="1" applyBorder="1" applyAlignment="1">
      <alignment horizontal="left"/>
    </xf>
    <xf numFmtId="166" fontId="3" fillId="0" borderId="0" xfId="0" applyNumberFormat="1" applyFont="1" applyBorder="1"/>
    <xf numFmtId="44" fontId="2" fillId="0" borderId="0" xfId="0" applyNumberFormat="1" applyFont="1"/>
    <xf numFmtId="0" fontId="19" fillId="2" borderId="0" xfId="0" applyFont="1" applyFill="1" applyBorder="1" applyAlignment="1"/>
    <xf numFmtId="0" fontId="19" fillId="2" borderId="0" xfId="0" applyFont="1" applyFill="1"/>
    <xf numFmtId="165" fontId="19" fillId="0" borderId="0" xfId="1" applyNumberFormat="1" applyFont="1" applyFill="1" applyBorder="1" applyAlignment="1">
      <alignment horizontal="left"/>
    </xf>
    <xf numFmtId="165" fontId="19" fillId="0" borderId="0" xfId="1" applyNumberFormat="1" applyFont="1" applyFill="1" applyBorder="1" applyAlignment="1">
      <alignment horizontal="right"/>
    </xf>
    <xf numFmtId="0" fontId="19" fillId="0" borderId="0" xfId="0" applyFont="1" applyFill="1" applyBorder="1" applyAlignment="1"/>
    <xf numFmtId="0" fontId="19" fillId="0" borderId="0" xfId="0" applyFont="1" applyFill="1"/>
    <xf numFmtId="0" fontId="22" fillId="3" borderId="0" xfId="0" applyNumberFormat="1" applyFont="1" applyFill="1" applyBorder="1" applyAlignment="1" applyProtection="1">
      <alignment horizontal="left" wrapText="1"/>
    </xf>
    <xf numFmtId="165" fontId="23" fillId="0" borderId="0" xfId="2" applyNumberFormat="1" applyFont="1" applyBorder="1" applyAlignment="1">
      <alignment horizontal="right"/>
    </xf>
    <xf numFmtId="164" fontId="23" fillId="0" borderId="0" xfId="1" applyNumberFormat="1" applyFont="1" applyBorder="1" applyAlignment="1">
      <alignment horizontal="right"/>
    </xf>
    <xf numFmtId="169" fontId="25" fillId="0" borderId="1" xfId="6" applyFont="1" applyFill="1" applyBorder="1" applyAlignment="1" applyProtection="1">
      <alignment horizontal="left" wrapText="1"/>
      <protection locked="0"/>
    </xf>
    <xf numFmtId="165" fontId="25" fillId="0" borderId="1" xfId="6" applyNumberFormat="1" applyFont="1" applyFill="1" applyBorder="1" applyAlignment="1" applyProtection="1">
      <alignment horizontal="right" wrapText="1"/>
      <protection locked="0"/>
    </xf>
    <xf numFmtId="44" fontId="25" fillId="0" borderId="1" xfId="1" applyFont="1" applyFill="1" applyBorder="1" applyAlignment="1" applyProtection="1">
      <alignment horizontal="right" wrapText="1"/>
      <protection locked="0"/>
    </xf>
    <xf numFmtId="164" fontId="25" fillId="0" borderId="1" xfId="1" applyNumberFormat="1" applyFont="1" applyFill="1" applyBorder="1" applyAlignment="1" applyProtection="1">
      <alignment horizontal="right" wrapText="1"/>
      <protection locked="0"/>
    </xf>
    <xf numFmtId="165" fontId="25" fillId="0" borderId="1" xfId="2" applyNumberFormat="1" applyFont="1" applyFill="1" applyBorder="1" applyAlignment="1" applyProtection="1">
      <alignment horizontal="right" wrapText="1"/>
      <protection locked="0"/>
    </xf>
    <xf numFmtId="0" fontId="11" fillId="0" borderId="1" xfId="0" applyFont="1" applyFill="1" applyBorder="1" applyAlignment="1">
      <alignment horizontal="right" wrapText="1"/>
    </xf>
    <xf numFmtId="0" fontId="53" fillId="3" borderId="0" xfId="0" applyNumberFormat="1" applyFont="1" applyFill="1" applyBorder="1" applyAlignment="1" applyProtection="1">
      <alignment horizontal="left" wrapText="1"/>
    </xf>
    <xf numFmtId="165" fontId="53" fillId="3" borderId="0" xfId="2" applyNumberFormat="1" applyFont="1" applyFill="1" applyBorder="1" applyAlignment="1" applyProtection="1">
      <alignment horizontal="right" wrapText="1"/>
    </xf>
    <xf numFmtId="3" fontId="53" fillId="3" borderId="0" xfId="2" applyNumberFormat="1" applyFont="1" applyFill="1" applyBorder="1" applyAlignment="1" applyProtection="1">
      <alignment horizontal="right" wrapText="1"/>
    </xf>
    <xf numFmtId="3" fontId="53" fillId="0" borderId="0" xfId="2" applyNumberFormat="1" applyFont="1" applyFill="1" applyBorder="1" applyAlignment="1" applyProtection="1">
      <alignment horizontal="right" wrapText="1"/>
    </xf>
    <xf numFmtId="3" fontId="7" fillId="0" borderId="0" xfId="2" applyNumberFormat="1" applyFont="1" applyFill="1" applyBorder="1"/>
    <xf numFmtId="165" fontId="32" fillId="0" borderId="0" xfId="0" applyNumberFormat="1" applyFont="1"/>
    <xf numFmtId="10" fontId="11" fillId="0" borderId="0" xfId="3" applyNumberFormat="1" applyFont="1" applyBorder="1"/>
    <xf numFmtId="10" fontId="7" fillId="0" borderId="0" xfId="3" applyNumberFormat="1" applyFont="1" applyBorder="1"/>
    <xf numFmtId="44" fontId="54" fillId="2" borderId="0" xfId="0" applyNumberFormat="1" applyFont="1" applyFill="1" applyBorder="1" applyAlignment="1">
      <alignment horizontal="left" wrapText="1"/>
    </xf>
    <xf numFmtId="0" fontId="54" fillId="2" borderId="0" xfId="0" applyFont="1" applyFill="1" applyBorder="1" applyAlignment="1">
      <alignment horizontal="left" wrapText="1"/>
    </xf>
    <xf numFmtId="169" fontId="52" fillId="2" borderId="0" xfId="6" applyFont="1" applyFill="1" applyBorder="1" applyAlignment="1" applyProtection="1">
      <alignment horizontal="right"/>
      <protection locked="0"/>
    </xf>
    <xf numFmtId="3" fontId="55" fillId="2" borderId="0" xfId="6" applyNumberFormat="1" applyFont="1" applyFill="1" applyBorder="1" applyAlignment="1" applyProtection="1">
      <alignment horizontal="left"/>
      <protection locked="0"/>
    </xf>
    <xf numFmtId="165" fontId="52" fillId="2" borderId="0" xfId="6" applyNumberFormat="1" applyFont="1" applyFill="1" applyBorder="1"/>
    <xf numFmtId="166" fontId="55" fillId="2" borderId="0" xfId="1" applyNumberFormat="1" applyFont="1" applyFill="1" applyBorder="1"/>
    <xf numFmtId="164" fontId="54" fillId="2" borderId="0" xfId="0" applyNumberFormat="1" applyFont="1" applyFill="1" applyBorder="1" applyAlignment="1">
      <alignment horizontal="left" wrapText="1"/>
    </xf>
    <xf numFmtId="9" fontId="7" fillId="0" borderId="0" xfId="3" applyFont="1" applyBorder="1"/>
    <xf numFmtId="0" fontId="57" fillId="0" borderId="0" xfId="7" applyFont="1" applyFill="1"/>
    <xf numFmtId="0" fontId="58" fillId="0" borderId="0" xfId="0" applyFont="1"/>
    <xf numFmtId="164" fontId="58" fillId="0" borderId="0" xfId="1" applyNumberFormat="1" applyFont="1"/>
    <xf numFmtId="0" fontId="3" fillId="2" borderId="0" xfId="0" applyFont="1" applyFill="1" applyBorder="1" applyAlignment="1">
      <alignment horizontal="left" wrapText="1"/>
    </xf>
    <xf numFmtId="0" fontId="3" fillId="2" borderId="0" xfId="0" applyFont="1" applyFill="1" applyBorder="1" applyAlignment="1">
      <alignment horizontal="center"/>
    </xf>
    <xf numFmtId="0" fontId="3" fillId="2" borderId="0" xfId="0" applyFont="1" applyFill="1" applyBorder="1"/>
    <xf numFmtId="0" fontId="7" fillId="0" borderId="0" xfId="0" applyFont="1" applyFill="1" applyBorder="1" applyAlignment="1">
      <alignment horizontal="left"/>
    </xf>
    <xf numFmtId="165" fontId="7" fillId="0" borderId="0" xfId="2" applyNumberFormat="1" applyFont="1" applyFill="1" applyBorder="1"/>
    <xf numFmtId="9" fontId="7" fillId="0" borderId="0" xfId="3" applyFont="1" applyFill="1" applyBorder="1"/>
    <xf numFmtId="0" fontId="7" fillId="0" borderId="0" xfId="0" applyFont="1" applyFill="1"/>
    <xf numFmtId="164" fontId="7" fillId="0" borderId="0" xfId="1" applyNumberFormat="1" applyFont="1"/>
    <xf numFmtId="10" fontId="7" fillId="0" borderId="0" xfId="3" applyNumberFormat="1" applyFont="1"/>
    <xf numFmtId="0" fontId="7" fillId="0" borderId="0" xfId="0" applyFont="1" applyAlignment="1">
      <alignment horizontal="left"/>
    </xf>
    <xf numFmtId="0" fontId="3" fillId="0" borderId="0" xfId="7" applyFont="1" applyBorder="1" applyAlignment="1">
      <alignment horizontal="left"/>
    </xf>
    <xf numFmtId="0" fontId="3" fillId="0" borderId="0" xfId="0" applyNumberFormat="1" applyFont="1" applyBorder="1" applyAlignment="1">
      <alignment horizontal="left" indent="1"/>
    </xf>
    <xf numFmtId="3" fontId="10" fillId="0" borderId="0" xfId="7" applyNumberFormat="1" applyFont="1" applyBorder="1" applyAlignment="1">
      <alignment horizontal="right"/>
    </xf>
    <xf numFmtId="49" fontId="7" fillId="0" borderId="0" xfId="0" applyNumberFormat="1" applyFont="1" applyAlignment="1">
      <alignment wrapText="1"/>
    </xf>
    <xf numFmtId="165" fontId="7" fillId="0" borderId="0" xfId="2" applyNumberFormat="1" applyFont="1" applyFill="1"/>
    <xf numFmtId="165" fontId="7" fillId="0" borderId="1" xfId="2" applyNumberFormat="1" applyFont="1" applyFill="1" applyBorder="1"/>
    <xf numFmtId="165" fontId="11" fillId="0" borderId="0" xfId="2" applyNumberFormat="1" applyFont="1" applyFill="1"/>
    <xf numFmtId="165" fontId="11" fillId="0" borderId="0" xfId="2" applyNumberFormat="1" applyFont="1" applyFill="1" applyBorder="1"/>
    <xf numFmtId="6" fontId="7" fillId="0" borderId="0" xfId="1" applyNumberFormat="1" applyFont="1" applyFill="1" applyBorder="1" applyAlignment="1">
      <alignment horizontal="right"/>
    </xf>
    <xf numFmtId="6" fontId="7" fillId="0" borderId="0" xfId="1" applyNumberFormat="1" applyFont="1" applyBorder="1" applyAlignment="1">
      <alignment horizontal="right"/>
    </xf>
    <xf numFmtId="165" fontId="11" fillId="36" borderId="0" xfId="2" applyNumberFormat="1" applyFont="1" applyFill="1" applyBorder="1"/>
    <xf numFmtId="3" fontId="0" fillId="0" borderId="0" xfId="0" applyNumberFormat="1"/>
    <xf numFmtId="0" fontId="5" fillId="4" borderId="0" xfId="10" applyFont="1" applyFill="1" applyBorder="1" applyAlignment="1">
      <alignment horizontal="left"/>
    </xf>
    <xf numFmtId="0" fontId="14" fillId="0" borderId="0" xfId="0" applyFont="1" applyAlignment="1">
      <alignment horizontal="left" wrapText="1"/>
    </xf>
    <xf numFmtId="0" fontId="14" fillId="0" borderId="0" xfId="0" applyFont="1" applyAlignment="1">
      <alignment horizontal="left"/>
    </xf>
    <xf numFmtId="0" fontId="3" fillId="0" borderId="1" xfId="10" applyFont="1" applyBorder="1" applyAlignment="1">
      <alignment horizontal="right"/>
    </xf>
    <xf numFmtId="166" fontId="10" fillId="0" borderId="0" xfId="10" applyNumberFormat="1" applyFont="1" applyBorder="1" applyAlignment="1">
      <alignment horizontal="right"/>
    </xf>
    <xf numFmtId="166" fontId="10" fillId="0" borderId="1" xfId="10" applyNumberFormat="1" applyFont="1" applyBorder="1" applyAlignment="1">
      <alignment horizontal="right"/>
    </xf>
    <xf numFmtId="10" fontId="10" fillId="0" borderId="1" xfId="10" applyNumberFormat="1" applyFont="1" applyBorder="1" applyAlignment="1">
      <alignment horizontal="right"/>
    </xf>
    <xf numFmtId="171" fontId="10" fillId="0" borderId="1" xfId="10" applyNumberFormat="1" applyFont="1" applyBorder="1" applyAlignment="1">
      <alignment horizontal="right"/>
    </xf>
    <xf numFmtId="168" fontId="10" fillId="0" borderId="1" xfId="10" applyNumberFormat="1" applyFont="1" applyBorder="1" applyAlignment="1">
      <alignment horizontal="right"/>
    </xf>
    <xf numFmtId="0" fontId="7" fillId="0" borderId="0" xfId="0" applyFont="1" applyAlignment="1"/>
    <xf numFmtId="0" fontId="7" fillId="0" borderId="0" xfId="0" applyFont="1" applyAlignment="1">
      <alignment wrapText="1"/>
    </xf>
    <xf numFmtId="0" fontId="7" fillId="0" borderId="0" xfId="7" applyFont="1" applyFill="1" applyBorder="1" applyAlignment="1">
      <alignment horizontal="left"/>
    </xf>
    <xf numFmtId="0" fontId="7" fillId="0" borderId="0" xfId="7" applyFont="1" applyBorder="1" applyAlignment="1">
      <alignment horizontal="left" wrapText="1"/>
    </xf>
    <xf numFmtId="3" fontId="11" fillId="0" borderId="1" xfId="6" applyNumberFormat="1" applyFont="1" applyFill="1" applyBorder="1" applyAlignment="1" applyProtection="1">
      <alignment horizontal="right" wrapText="1"/>
      <protection locked="0"/>
    </xf>
    <xf numFmtId="3" fontId="11" fillId="0" borderId="1" xfId="0" applyNumberFormat="1" applyFont="1" applyFill="1" applyBorder="1" applyAlignment="1">
      <alignment horizontal="right" wrapText="1"/>
    </xf>
    <xf numFmtId="164" fontId="11" fillId="0" borderId="1" xfId="1" applyNumberFormat="1" applyFont="1" applyFill="1" applyBorder="1" applyAlignment="1">
      <alignment horizontal="right" wrapText="1"/>
    </xf>
    <xf numFmtId="165" fontId="7" fillId="0" borderId="0" xfId="0" applyNumberFormat="1" applyFont="1" applyFill="1" applyBorder="1"/>
    <xf numFmtId="168" fontId="11" fillId="0" borderId="1" xfId="0" applyNumberFormat="1" applyFont="1" applyFill="1" applyBorder="1" applyAlignment="1">
      <alignment horizontal="right" wrapText="1"/>
    </xf>
    <xf numFmtId="168" fontId="11" fillId="0" borderId="0" xfId="1" quotePrefix="1" applyNumberFormat="1" applyFont="1" applyFill="1" applyBorder="1" applyAlignment="1">
      <alignment horizontal="right" wrapText="1"/>
    </xf>
    <xf numFmtId="168" fontId="11" fillId="0" borderId="1" xfId="1" quotePrefix="1" applyNumberFormat="1" applyFont="1" applyFill="1" applyBorder="1" applyAlignment="1">
      <alignment horizontal="right" wrapText="1"/>
    </xf>
    <xf numFmtId="0" fontId="60" fillId="0" borderId="0" xfId="0" applyFont="1" applyFill="1"/>
    <xf numFmtId="166" fontId="11" fillId="0" borderId="0" xfId="3" applyNumberFormat="1" applyFont="1" applyFill="1" applyBorder="1" applyAlignment="1">
      <alignment horizontal="right"/>
    </xf>
    <xf numFmtId="166" fontId="7" fillId="0" borderId="0" xfId="0" applyNumberFormat="1" applyFont="1" applyFill="1" applyBorder="1" applyAlignment="1">
      <alignment horizontal="right"/>
    </xf>
    <xf numFmtId="168" fontId="11" fillId="0" borderId="0" xfId="1" applyNumberFormat="1" applyFont="1" applyFill="1" applyBorder="1" applyAlignment="1">
      <alignment horizontal="right"/>
    </xf>
    <xf numFmtId="0" fontId="14" fillId="0" borderId="0" xfId="0" applyFont="1" applyAlignment="1">
      <alignment horizontal="left"/>
    </xf>
    <xf numFmtId="165" fontId="11" fillId="0" borderId="0" xfId="2" applyNumberFormat="1" applyFont="1" applyFill="1" applyBorder="1" applyAlignment="1">
      <alignment horizontal="right"/>
    </xf>
    <xf numFmtId="167" fontId="11" fillId="0" borderId="0" xfId="1" applyNumberFormat="1" applyFont="1" applyBorder="1"/>
    <xf numFmtId="0" fontId="11" fillId="0" borderId="0" xfId="0" applyFont="1" applyAlignment="1">
      <alignment horizontal="right" indent="2"/>
    </xf>
    <xf numFmtId="0" fontId="56" fillId="0" borderId="0" xfId="0" applyFont="1" applyAlignment="1">
      <alignment horizontal="right" indent="2"/>
    </xf>
    <xf numFmtId="166" fontId="3" fillId="0" borderId="11" xfId="0" applyNumberFormat="1" applyFont="1" applyFill="1" applyBorder="1" applyAlignment="1">
      <alignment horizontal="right"/>
    </xf>
    <xf numFmtId="168" fontId="3" fillId="0" borderId="11" xfId="0" applyNumberFormat="1" applyFont="1" applyFill="1" applyBorder="1" applyAlignment="1">
      <alignment horizontal="right"/>
    </xf>
    <xf numFmtId="3" fontId="3" fillId="0" borderId="11" xfId="0" applyNumberFormat="1" applyFont="1" applyFill="1" applyBorder="1" applyAlignment="1">
      <alignment horizontal="right"/>
    </xf>
    <xf numFmtId="166" fontId="3" fillId="0" borderId="11" xfId="2" applyNumberFormat="1" applyFont="1" applyFill="1" applyBorder="1" applyAlignment="1">
      <alignment horizontal="right"/>
    </xf>
    <xf numFmtId="0" fontId="5" fillId="4" borderId="0" xfId="9" applyNumberFormat="1" applyFont="1" applyFill="1" applyBorder="1" applyAlignment="1">
      <alignment horizontal="left"/>
    </xf>
    <xf numFmtId="0" fontId="5" fillId="4" borderId="0" xfId="10" applyFont="1" applyFill="1" applyBorder="1" applyAlignment="1">
      <alignment horizontal="left"/>
    </xf>
    <xf numFmtId="0" fontId="6" fillId="4" borderId="0" xfId="9" applyFont="1" applyFill="1" applyBorder="1" applyAlignment="1">
      <alignment horizontal="left"/>
    </xf>
    <xf numFmtId="0" fontId="29" fillId="4" borderId="0" xfId="10" applyFont="1" applyFill="1" applyBorder="1" applyAlignment="1">
      <alignment horizontal="left"/>
    </xf>
    <xf numFmtId="0" fontId="5" fillId="4" borderId="0" xfId="10" applyFont="1" applyFill="1" applyAlignment="1">
      <alignment horizontal="left"/>
    </xf>
    <xf numFmtId="0" fontId="29" fillId="4" borderId="0" xfId="10" applyFont="1" applyFill="1" applyAlignment="1">
      <alignment horizontal="left"/>
    </xf>
    <xf numFmtId="49" fontId="5" fillId="4" borderId="0" xfId="7" applyNumberFormat="1" applyFont="1" applyFill="1" applyBorder="1" applyAlignment="1">
      <alignment horizontal="left"/>
    </xf>
    <xf numFmtId="49" fontId="29" fillId="4" borderId="0" xfId="7" applyNumberFormat="1" applyFont="1" applyFill="1" applyBorder="1" applyAlignment="1">
      <alignment horizontal="left"/>
    </xf>
    <xf numFmtId="49" fontId="5" fillId="4" borderId="0" xfId="1" applyNumberFormat="1" applyFont="1" applyFill="1" applyBorder="1" applyAlignment="1">
      <alignment horizontal="left"/>
    </xf>
    <xf numFmtId="49" fontId="29" fillId="4" borderId="0" xfId="1" applyNumberFormat="1" applyFont="1" applyFill="1" applyBorder="1" applyAlignment="1">
      <alignment horizontal="left"/>
    </xf>
    <xf numFmtId="0" fontId="29" fillId="4" borderId="0" xfId="0" applyFont="1" applyFill="1" applyBorder="1" applyAlignment="1">
      <alignment horizontal="left"/>
    </xf>
    <xf numFmtId="3" fontId="5" fillId="4" borderId="0" xfId="0" applyNumberFormat="1" applyFont="1" applyFill="1" applyBorder="1" applyAlignment="1">
      <alignment horizontal="left"/>
    </xf>
    <xf numFmtId="3" fontId="29" fillId="4" borderId="0" xfId="0" applyNumberFormat="1" applyFont="1" applyFill="1" applyBorder="1" applyAlignment="1">
      <alignment horizontal="left"/>
    </xf>
    <xf numFmtId="0" fontId="14" fillId="0" borderId="0" xfId="0" applyFont="1" applyAlignment="1">
      <alignment horizontal="left" wrapText="1"/>
    </xf>
    <xf numFmtId="0" fontId="5" fillId="4" borderId="0" xfId="0" applyFont="1" applyFill="1" applyBorder="1" applyAlignment="1">
      <alignment horizontal="left"/>
    </xf>
    <xf numFmtId="0" fontId="6" fillId="4" borderId="0" xfId="0" applyFont="1" applyFill="1" applyBorder="1" applyAlignment="1">
      <alignment horizontal="left"/>
    </xf>
    <xf numFmtId="0" fontId="30" fillId="4" borderId="0" xfId="0" applyFont="1" applyFill="1" applyBorder="1" applyAlignment="1">
      <alignment horizontal="left"/>
    </xf>
    <xf numFmtId="0" fontId="16" fillId="0" borderId="0" xfId="0" applyFont="1" applyFill="1" applyBorder="1" applyAlignment="1">
      <alignment horizontal="left" wrapText="1"/>
    </xf>
    <xf numFmtId="0" fontId="16" fillId="0" borderId="0" xfId="0" applyFont="1" applyFill="1" applyBorder="1" applyAlignment="1"/>
    <xf numFmtId="3" fontId="5" fillId="4" borderId="0" xfId="4" applyNumberFormat="1" applyFont="1" applyFill="1" applyBorder="1" applyAlignment="1">
      <alignment horizontal="left"/>
    </xf>
    <xf numFmtId="3" fontId="29" fillId="4" borderId="0" xfId="4" applyNumberFormat="1" applyFont="1" applyFill="1" applyBorder="1" applyAlignment="1">
      <alignment horizontal="left"/>
    </xf>
    <xf numFmtId="168" fontId="5" fillId="4" borderId="0" xfId="0" applyNumberFormat="1" applyFont="1" applyFill="1" applyBorder="1" applyAlignment="1">
      <alignment horizontal="left"/>
    </xf>
    <xf numFmtId="168" fontId="29" fillId="4" borderId="0" xfId="0" applyNumberFormat="1" applyFont="1" applyFill="1" applyBorder="1" applyAlignment="1">
      <alignment horizontal="left"/>
    </xf>
    <xf numFmtId="4" fontId="5" fillId="4" borderId="0" xfId="8" applyNumberFormat="1" applyFont="1" applyFill="1" applyBorder="1" applyAlignment="1">
      <alignment horizontal="left"/>
    </xf>
    <xf numFmtId="0" fontId="5" fillId="4" borderId="0" xfId="8" applyFont="1" applyFill="1" applyBorder="1" applyAlignment="1">
      <alignment horizontal="left"/>
    </xf>
    <xf numFmtId="4" fontId="29" fillId="4" borderId="0" xfId="8" applyNumberFormat="1" applyFont="1" applyFill="1" applyBorder="1" applyAlignment="1">
      <alignment horizontal="left"/>
    </xf>
  </cellXfs>
  <cellStyles count="52">
    <cellStyle name="20% - Accent1" xfId="28" builtinId="30" customBuiltin="1"/>
    <cellStyle name="20% - Accent2" xfId="31" builtinId="34" customBuiltin="1"/>
    <cellStyle name="20% - Accent3" xfId="34" builtinId="38" customBuiltin="1"/>
    <cellStyle name="20% - Accent4" xfId="37" builtinId="42" customBuiltin="1"/>
    <cellStyle name="20% - Accent5" xfId="40" builtinId="46" customBuiltin="1"/>
    <cellStyle name="20% - Accent6" xfId="43" builtinId="50" customBuiltin="1"/>
    <cellStyle name="40% - Accent1" xfId="29" builtinId="31" customBuiltin="1"/>
    <cellStyle name="40% - Accent2" xfId="32" builtinId="35" customBuiltin="1"/>
    <cellStyle name="40% - Accent3" xfId="35" builtinId="39" customBuiltin="1"/>
    <cellStyle name="40% - Accent4" xfId="38" builtinId="43" customBuiltin="1"/>
    <cellStyle name="40% - Accent5" xfId="41" builtinId="47" customBuiltin="1"/>
    <cellStyle name="40% - Accent6" xfId="44" builtinId="51" customBuiltin="1"/>
    <cellStyle name="60% - Accent1 2" xfId="46" xr:uid="{00000000-0005-0000-0000-00000C000000}"/>
    <cellStyle name="60% - Accent2 2" xfId="47" xr:uid="{00000000-0005-0000-0000-00000D000000}"/>
    <cellStyle name="60% - Accent3 2" xfId="48" xr:uid="{00000000-0005-0000-0000-00000E000000}"/>
    <cellStyle name="60% - Accent4 2" xfId="49" xr:uid="{00000000-0005-0000-0000-00000F000000}"/>
    <cellStyle name="60% - Accent5 2" xfId="50" xr:uid="{00000000-0005-0000-0000-000010000000}"/>
    <cellStyle name="60% - Accent6 2" xfId="51" xr:uid="{00000000-0005-0000-0000-000011000000}"/>
    <cellStyle name="Accent1" xfId="27" builtinId="29" customBuiltin="1"/>
    <cellStyle name="Accent2" xfId="30" builtinId="33" customBuiltin="1"/>
    <cellStyle name="Accent3" xfId="33" builtinId="37" customBuiltin="1"/>
    <cellStyle name="Accent4" xfId="36" builtinId="41" customBuiltin="1"/>
    <cellStyle name="Accent5" xfId="39" builtinId="45" customBuiltin="1"/>
    <cellStyle name="Accent6" xfId="42" builtinId="49" customBuiltin="1"/>
    <cellStyle name="Bad" xfId="17" builtinId="27" customBuiltin="1"/>
    <cellStyle name="Calculation" xfId="20" builtinId="22" customBuiltin="1"/>
    <cellStyle name="Check Cell" xfId="22" builtinId="23" customBuiltin="1"/>
    <cellStyle name="Comma" xfId="2" builtinId="3"/>
    <cellStyle name="Currency" xfId="1" builtinId="4"/>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8" builtinId="20" customBuiltin="1"/>
    <cellStyle name="Linked Cell" xfId="21" builtinId="24" customBuiltin="1"/>
    <cellStyle name="Neutral 2" xfId="45" xr:uid="{00000000-0005-0000-0000-000026000000}"/>
    <cellStyle name="Normal" xfId="0" builtinId="0"/>
    <cellStyle name="Normal_94TAB9" xfId="6" xr:uid="{00000000-0005-0000-0000-000028000000}"/>
    <cellStyle name="Normal_Copy of SFY2010 Table10" xfId="5" xr:uid="{00000000-0005-0000-0000-000029000000}"/>
    <cellStyle name="Normal_SFY13_Table6_Annual Report (2)" xfId="7" xr:uid="{00000000-0005-0000-0000-00002A000000}"/>
    <cellStyle name="Normal_SFY13_Tables4_5 Annual Report (3)" xfId="10" xr:uid="{00000000-0005-0000-0000-00002B000000}"/>
    <cellStyle name="Normal_Table 10 (11) for SFY 2012" xfId="4" xr:uid="{00000000-0005-0000-0000-00002C000000}"/>
    <cellStyle name="Normal_Table 13 (14) for SFY 2012" xfId="8" xr:uid="{00000000-0005-0000-0000-00002D000000}"/>
    <cellStyle name="Normal_Table 3 for SFY 2012" xfId="9" xr:uid="{00000000-0005-0000-0000-00002E000000}"/>
    <cellStyle name="Note" xfId="24" builtinId="10" customBuiltin="1"/>
    <cellStyle name="Output" xfId="19" builtinId="21" customBuiltin="1"/>
    <cellStyle name="Percent" xfId="3" builtinId="5"/>
    <cellStyle name="Title" xfId="11" builtinId="15" customBuiltin="1"/>
    <cellStyle name="Total" xfId="26" builtinId="25" customBuiltin="1"/>
    <cellStyle name="Warning Text" xfId="23" builtinId="11" customBuiltin="1"/>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showGridLines="0" tabSelected="1" workbookViewId="0">
      <pane ySplit="6" topLeftCell="A7" activePane="bottomLeft" state="frozen"/>
      <selection pane="bottomLeft" activeCell="A7" sqref="A7"/>
    </sheetView>
  </sheetViews>
  <sheetFormatPr defaultColWidth="9.140625" defaultRowHeight="16.5" x14ac:dyDescent="0.3"/>
  <cols>
    <col min="1" max="1" width="62" style="67" customWidth="1"/>
    <col min="2" max="2" width="16.5703125" style="78" customWidth="1"/>
    <col min="3" max="3" width="20.7109375" style="78" customWidth="1"/>
    <col min="4" max="16384" width="9.140625" style="67"/>
  </cols>
  <sheetData>
    <row r="1" spans="1:3" s="227" customFormat="1" ht="18" x14ac:dyDescent="0.35">
      <c r="A1" s="457" t="s">
        <v>255</v>
      </c>
      <c r="B1" s="457"/>
      <c r="C1" s="457"/>
    </row>
    <row r="2" spans="1:3" s="227" customFormat="1" ht="18" x14ac:dyDescent="0.35">
      <c r="A2" s="457" t="s">
        <v>2</v>
      </c>
      <c r="B2" s="457"/>
      <c r="C2" s="457"/>
    </row>
    <row r="3" spans="1:3" s="227" customFormat="1" ht="18" x14ac:dyDescent="0.35">
      <c r="A3" s="457" t="s">
        <v>356</v>
      </c>
      <c r="B3" s="457"/>
      <c r="C3" s="457"/>
    </row>
    <row r="4" spans="1:3" s="227" customFormat="1" ht="18" x14ac:dyDescent="0.35">
      <c r="A4" s="457" t="s">
        <v>394</v>
      </c>
      <c r="B4" s="457"/>
      <c r="C4" s="457"/>
    </row>
    <row r="5" spans="1:3" s="229" customFormat="1" ht="18" x14ac:dyDescent="0.35">
      <c r="A5" s="228"/>
      <c r="B5" s="228"/>
      <c r="C5" s="228"/>
    </row>
    <row r="6" spans="1:3" s="230" customFormat="1" ht="72" customHeight="1" x14ac:dyDescent="0.3">
      <c r="A6" s="231" t="s">
        <v>256</v>
      </c>
      <c r="B6" s="232" t="s">
        <v>257</v>
      </c>
      <c r="C6" s="232" t="s">
        <v>258</v>
      </c>
    </row>
    <row r="7" spans="1:3" x14ac:dyDescent="0.3">
      <c r="A7" s="233" t="s">
        <v>259</v>
      </c>
      <c r="B7" s="416">
        <v>1994</v>
      </c>
      <c r="C7" s="416">
        <v>2177</v>
      </c>
    </row>
    <row r="8" spans="1:3" x14ac:dyDescent="0.3">
      <c r="A8" s="233" t="s">
        <v>260</v>
      </c>
      <c r="B8" s="416">
        <v>27768</v>
      </c>
      <c r="C8" s="416">
        <v>32164</v>
      </c>
    </row>
    <row r="9" spans="1:3" x14ac:dyDescent="0.3">
      <c r="A9" s="233" t="s">
        <v>261</v>
      </c>
      <c r="B9" s="416">
        <v>861</v>
      </c>
      <c r="C9" s="416">
        <v>900</v>
      </c>
    </row>
    <row r="10" spans="1:3" x14ac:dyDescent="0.3">
      <c r="A10" s="233" t="s">
        <v>262</v>
      </c>
      <c r="B10" s="416">
        <v>3169</v>
      </c>
      <c r="C10" s="416">
        <v>3372</v>
      </c>
    </row>
    <row r="11" spans="1:3" x14ac:dyDescent="0.3">
      <c r="A11" s="233" t="s">
        <v>263</v>
      </c>
      <c r="B11" s="416">
        <v>286</v>
      </c>
      <c r="C11" s="416">
        <v>286</v>
      </c>
    </row>
    <row r="12" spans="1:3" x14ac:dyDescent="0.3">
      <c r="A12" s="233" t="s">
        <v>264</v>
      </c>
      <c r="B12" s="416">
        <v>2458</v>
      </c>
      <c r="C12" s="416">
        <v>2601</v>
      </c>
    </row>
    <row r="13" spans="1:3" x14ac:dyDescent="0.3">
      <c r="A13" s="233" t="s">
        <v>265</v>
      </c>
      <c r="B13" s="416">
        <v>867</v>
      </c>
      <c r="C13" s="416">
        <v>869</v>
      </c>
    </row>
    <row r="14" spans="1:3" x14ac:dyDescent="0.3">
      <c r="A14" s="233" t="s">
        <v>266</v>
      </c>
      <c r="B14" s="416">
        <v>7750</v>
      </c>
      <c r="C14" s="416">
        <v>8423</v>
      </c>
    </row>
    <row r="15" spans="1:3" x14ac:dyDescent="0.3">
      <c r="A15" s="233" t="s">
        <v>267</v>
      </c>
      <c r="B15" s="416">
        <v>10</v>
      </c>
      <c r="C15" s="416">
        <v>10</v>
      </c>
    </row>
    <row r="16" spans="1:3" x14ac:dyDescent="0.3">
      <c r="A16" s="233" t="s">
        <v>268</v>
      </c>
      <c r="B16" s="416">
        <v>552</v>
      </c>
      <c r="C16" s="416">
        <v>576</v>
      </c>
    </row>
    <row r="17" spans="1:3" x14ac:dyDescent="0.3">
      <c r="A17" s="233" t="s">
        <v>269</v>
      </c>
      <c r="B17" s="416">
        <v>245</v>
      </c>
      <c r="C17" s="416">
        <v>245</v>
      </c>
    </row>
    <row r="18" spans="1:3" x14ac:dyDescent="0.3">
      <c r="A18" s="233" t="s">
        <v>270</v>
      </c>
      <c r="B18" s="416">
        <v>30</v>
      </c>
      <c r="C18" s="416">
        <v>30</v>
      </c>
    </row>
    <row r="19" spans="1:3" x14ac:dyDescent="0.3">
      <c r="A19" s="233" t="s">
        <v>271</v>
      </c>
      <c r="B19" s="416">
        <v>1756</v>
      </c>
      <c r="C19" s="416">
        <v>1809</v>
      </c>
    </row>
    <row r="20" spans="1:3" x14ac:dyDescent="0.3">
      <c r="A20" s="233" t="s">
        <v>272</v>
      </c>
      <c r="B20" s="416">
        <v>2</v>
      </c>
      <c r="C20" s="416">
        <v>2</v>
      </c>
    </row>
    <row r="21" spans="1:3" x14ac:dyDescent="0.3">
      <c r="A21" s="233" t="s">
        <v>273</v>
      </c>
      <c r="B21" s="416">
        <v>2649</v>
      </c>
      <c r="C21" s="416">
        <v>2649</v>
      </c>
    </row>
    <row r="22" spans="1:3" x14ac:dyDescent="0.3">
      <c r="A22" s="233" t="s">
        <v>274</v>
      </c>
      <c r="B22" s="416">
        <v>14689</v>
      </c>
      <c r="C22" s="416">
        <v>16070</v>
      </c>
    </row>
    <row r="23" spans="1:3" x14ac:dyDescent="0.3">
      <c r="A23" s="233" t="s">
        <v>275</v>
      </c>
      <c r="B23" s="416">
        <v>250</v>
      </c>
      <c r="C23" s="416">
        <v>431</v>
      </c>
    </row>
    <row r="24" spans="1:3" x14ac:dyDescent="0.3">
      <c r="A24" s="233" t="s">
        <v>276</v>
      </c>
      <c r="B24" s="416">
        <v>46</v>
      </c>
      <c r="C24" s="416">
        <v>46</v>
      </c>
    </row>
    <row r="25" spans="1:3" x14ac:dyDescent="0.3">
      <c r="A25" s="233" t="s">
        <v>277</v>
      </c>
      <c r="B25" s="416">
        <v>1883</v>
      </c>
      <c r="C25" s="416">
        <v>1931</v>
      </c>
    </row>
    <row r="26" spans="1:3" x14ac:dyDescent="0.3">
      <c r="A26" s="233" t="s">
        <v>278</v>
      </c>
      <c r="B26" s="416">
        <v>24</v>
      </c>
      <c r="C26" s="416">
        <v>24</v>
      </c>
    </row>
    <row r="27" spans="1:3" x14ac:dyDescent="0.3">
      <c r="A27" s="233" t="s">
        <v>279</v>
      </c>
      <c r="B27" s="416">
        <v>1715</v>
      </c>
      <c r="C27" s="416">
        <v>1728</v>
      </c>
    </row>
    <row r="28" spans="1:3" ht="16.5" customHeight="1" x14ac:dyDescent="0.3">
      <c r="A28" s="415" t="s">
        <v>344</v>
      </c>
      <c r="B28" s="416">
        <v>8</v>
      </c>
      <c r="C28" s="416">
        <v>8</v>
      </c>
    </row>
    <row r="29" spans="1:3" x14ac:dyDescent="0.3">
      <c r="A29" s="233" t="s">
        <v>280</v>
      </c>
      <c r="B29" s="416">
        <v>2019</v>
      </c>
      <c r="C29" s="416">
        <v>3169</v>
      </c>
    </row>
    <row r="30" spans="1:3" x14ac:dyDescent="0.3">
      <c r="A30" s="235" t="s">
        <v>281</v>
      </c>
      <c r="B30" s="417">
        <v>441</v>
      </c>
      <c r="C30" s="417">
        <v>474</v>
      </c>
    </row>
    <row r="31" spans="1:3" s="83" customFormat="1" x14ac:dyDescent="0.3">
      <c r="A31" s="237" t="s">
        <v>282</v>
      </c>
      <c r="B31" s="418">
        <v>71472</v>
      </c>
      <c r="C31" s="418">
        <v>79994</v>
      </c>
    </row>
    <row r="32" spans="1:3" x14ac:dyDescent="0.3">
      <c r="A32" s="238"/>
      <c r="B32" s="234"/>
      <c r="C32" s="234"/>
    </row>
    <row r="33" spans="1:3" s="68" customFormat="1" x14ac:dyDescent="0.3">
      <c r="A33" s="433" t="s">
        <v>357</v>
      </c>
      <c r="B33" s="239"/>
      <c r="C33" s="239"/>
    </row>
    <row r="34" spans="1:3" x14ac:dyDescent="0.3">
      <c r="A34" s="433" t="s">
        <v>387</v>
      </c>
      <c r="B34" s="234"/>
      <c r="C34" s="234"/>
    </row>
    <row r="35" spans="1:3" x14ac:dyDescent="0.3">
      <c r="A35" s="434" t="s">
        <v>345</v>
      </c>
      <c r="C35" s="234"/>
    </row>
  </sheetData>
  <mergeCells count="4">
    <mergeCell ref="A1:C1"/>
    <mergeCell ref="A2:C2"/>
    <mergeCell ref="A3:C3"/>
    <mergeCell ref="A4:C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6"/>
  <sheetViews>
    <sheetView showGridLines="0" workbookViewId="0">
      <pane ySplit="6" topLeftCell="A7" activePane="bottomLeft" state="frozen"/>
      <selection pane="bottomLeft" activeCell="A7" sqref="A7"/>
    </sheetView>
  </sheetViews>
  <sheetFormatPr defaultColWidth="9.140625" defaultRowHeight="15" x14ac:dyDescent="0.25"/>
  <cols>
    <col min="1" max="1" width="45.42578125" style="15" bestFit="1" customWidth="1"/>
    <col min="2" max="2" width="17.85546875" style="15" customWidth="1"/>
    <col min="3" max="3" width="15.28515625" style="15" customWidth="1"/>
    <col min="4" max="4" width="15.28515625" style="15" bestFit="1" customWidth="1"/>
    <col min="5" max="5" width="9.140625" style="15"/>
    <col min="6" max="6" width="18" style="15" customWidth="1"/>
    <col min="7" max="7" width="9.140625" style="157"/>
    <col min="8" max="16384" width="9.140625" style="15"/>
  </cols>
  <sheetData>
    <row r="1" spans="1:9" s="296" customFormat="1" ht="18" x14ac:dyDescent="0.35">
      <c r="A1" s="478" t="s">
        <v>191</v>
      </c>
      <c r="B1" s="478"/>
      <c r="C1" s="478"/>
      <c r="D1" s="478"/>
      <c r="E1" s="478"/>
      <c r="F1" s="478"/>
      <c r="G1" s="478"/>
      <c r="H1" s="478"/>
      <c r="I1" s="478"/>
    </row>
    <row r="2" spans="1:9" s="296" customFormat="1" ht="18" x14ac:dyDescent="0.35">
      <c r="A2" s="478" t="s">
        <v>2</v>
      </c>
      <c r="B2" s="478"/>
      <c r="C2" s="478"/>
      <c r="D2" s="478"/>
      <c r="E2" s="478"/>
      <c r="F2" s="478"/>
      <c r="G2" s="478"/>
      <c r="H2" s="478"/>
      <c r="I2" s="478"/>
    </row>
    <row r="3" spans="1:9" s="296" customFormat="1" ht="18" x14ac:dyDescent="0.35">
      <c r="A3" s="479" t="s">
        <v>363</v>
      </c>
      <c r="B3" s="479"/>
      <c r="C3" s="479"/>
      <c r="D3" s="479"/>
      <c r="E3" s="479"/>
      <c r="F3" s="479"/>
      <c r="G3" s="479"/>
      <c r="H3" s="479"/>
      <c r="I3" s="479"/>
    </row>
    <row r="4" spans="1:9" s="296" customFormat="1" ht="18" x14ac:dyDescent="0.35">
      <c r="A4" s="478" t="s">
        <v>403</v>
      </c>
      <c r="B4" s="478"/>
      <c r="C4" s="478"/>
      <c r="D4" s="478"/>
      <c r="E4" s="478"/>
      <c r="F4" s="478"/>
      <c r="G4" s="478"/>
      <c r="H4" s="478"/>
      <c r="I4" s="478"/>
    </row>
    <row r="5" spans="1:9" s="59" customFormat="1" ht="16.5" x14ac:dyDescent="0.3">
      <c r="A5" s="134"/>
      <c r="B5" s="58"/>
      <c r="C5" s="58"/>
      <c r="D5" s="58"/>
      <c r="E5" s="58"/>
      <c r="F5" s="58"/>
      <c r="G5" s="58"/>
      <c r="H5" s="58"/>
      <c r="I5" s="58"/>
    </row>
    <row r="6" spans="1:9" s="28" customFormat="1" ht="73.5" customHeight="1" x14ac:dyDescent="0.3">
      <c r="A6" s="123" t="s">
        <v>3</v>
      </c>
      <c r="B6" s="89" t="s">
        <v>10</v>
      </c>
      <c r="C6" s="135" t="s">
        <v>5</v>
      </c>
      <c r="D6" s="89" t="s">
        <v>9</v>
      </c>
      <c r="E6" s="135" t="s">
        <v>5</v>
      </c>
      <c r="F6" s="89" t="s">
        <v>192</v>
      </c>
      <c r="G6" s="443" t="s">
        <v>372</v>
      </c>
      <c r="H6" s="443" t="s">
        <v>370</v>
      </c>
      <c r="I6" s="443" t="s">
        <v>371</v>
      </c>
    </row>
    <row r="7" spans="1:9" s="243" customFormat="1" x14ac:dyDescent="0.3">
      <c r="A7" s="256" t="s">
        <v>171</v>
      </c>
      <c r="B7" s="277">
        <v>447741504</v>
      </c>
      <c r="C7" s="331">
        <f t="shared" ref="C7:C28" si="0">B7/$B$36</f>
        <v>7.9866550851578649E-2</v>
      </c>
      <c r="D7" s="277">
        <v>1371788</v>
      </c>
      <c r="E7" s="332">
        <f t="shared" ref="E7:E28" si="1">D7/$D$36</f>
        <v>5.1284290547524966E-2</v>
      </c>
      <c r="F7" s="277">
        <f>B7+D7</f>
        <v>449113292</v>
      </c>
      <c r="G7" s="332">
        <f>F7/$F$36</f>
        <v>7.9730822818680533E-2</v>
      </c>
      <c r="H7" s="332">
        <v>8.1343568541853734E-2</v>
      </c>
      <c r="I7" s="332">
        <v>7.9901391137412528E-2</v>
      </c>
    </row>
    <row r="8" spans="1:9" s="243" customFormat="1" x14ac:dyDescent="0.3">
      <c r="A8" s="256" t="s">
        <v>172</v>
      </c>
      <c r="B8" s="277">
        <v>357676899</v>
      </c>
      <c r="C8" s="331">
        <f t="shared" si="0"/>
        <v>6.3801144158434908E-2</v>
      </c>
      <c r="D8" s="277">
        <v>1266358</v>
      </c>
      <c r="E8" s="332">
        <f t="shared" si="1"/>
        <v>4.7342790292073285E-2</v>
      </c>
      <c r="F8" s="277">
        <f t="shared" ref="F8:F33" si="2">B8+D8</f>
        <v>358943257</v>
      </c>
      <c r="G8" s="332">
        <f t="shared" ref="G8:G36" si="3">F8/$F$36</f>
        <v>6.3722988688179619E-2</v>
      </c>
      <c r="H8" s="332">
        <v>6.3854282572778684E-2</v>
      </c>
      <c r="I8" s="332">
        <v>6.8146378306878141E-2</v>
      </c>
    </row>
    <row r="9" spans="1:9" s="243" customFormat="1" x14ac:dyDescent="0.3">
      <c r="A9" s="256" t="s">
        <v>173</v>
      </c>
      <c r="B9" s="277">
        <v>0</v>
      </c>
      <c r="C9" s="331">
        <f t="shared" si="0"/>
        <v>0</v>
      </c>
      <c r="D9" s="277">
        <v>0</v>
      </c>
      <c r="E9" s="332">
        <f t="shared" si="1"/>
        <v>0</v>
      </c>
      <c r="F9" s="277">
        <f t="shared" si="2"/>
        <v>0</v>
      </c>
      <c r="G9" s="332">
        <f t="shared" si="3"/>
        <v>0</v>
      </c>
      <c r="H9" s="332">
        <v>0</v>
      </c>
      <c r="I9" s="333">
        <v>0</v>
      </c>
    </row>
    <row r="10" spans="1:9" s="243" customFormat="1" x14ac:dyDescent="0.3">
      <c r="A10" s="256" t="s">
        <v>168</v>
      </c>
      <c r="B10" s="277">
        <v>491</v>
      </c>
      <c r="C10" s="331">
        <f t="shared" si="0"/>
        <v>8.7582848848707838E-8</v>
      </c>
      <c r="D10" s="277">
        <v>0</v>
      </c>
      <c r="E10" s="332">
        <f t="shared" si="1"/>
        <v>0</v>
      </c>
      <c r="F10" s="277">
        <f t="shared" si="2"/>
        <v>491</v>
      </c>
      <c r="G10" s="332">
        <f t="shared" si="3"/>
        <v>8.7166945849316218E-8</v>
      </c>
      <c r="H10" s="332">
        <v>4.7297499070922437E-7</v>
      </c>
      <c r="I10" s="332">
        <v>0</v>
      </c>
    </row>
    <row r="11" spans="1:9" s="243" customFormat="1" x14ac:dyDescent="0.3">
      <c r="A11" s="256" t="s">
        <v>174</v>
      </c>
      <c r="B11" s="277">
        <v>350193156</v>
      </c>
      <c r="C11" s="331">
        <f t="shared" si="0"/>
        <v>6.2466220468024372E-2</v>
      </c>
      <c r="D11" s="277">
        <v>1654929</v>
      </c>
      <c r="E11" s="332">
        <f t="shared" si="1"/>
        <v>6.1869516041491067E-2</v>
      </c>
      <c r="F11" s="277">
        <f t="shared" si="2"/>
        <v>351848085</v>
      </c>
      <c r="G11" s="332">
        <f t="shared" si="3"/>
        <v>6.2463386909125479E-2</v>
      </c>
      <c r="H11" s="332">
        <v>6.2461072807951025E-2</v>
      </c>
      <c r="I11" s="332">
        <v>6.6348263789044473E-2</v>
      </c>
    </row>
    <row r="12" spans="1:9" s="243" customFormat="1" x14ac:dyDescent="0.3">
      <c r="A12" s="256" t="s">
        <v>175</v>
      </c>
      <c r="B12" s="277">
        <v>45509949</v>
      </c>
      <c r="C12" s="331">
        <f t="shared" si="0"/>
        <v>8.1179042451718988E-3</v>
      </c>
      <c r="D12" s="277">
        <v>369261</v>
      </c>
      <c r="E12" s="332">
        <f t="shared" si="1"/>
        <v>1.3804821453365692E-2</v>
      </c>
      <c r="F12" s="277">
        <f t="shared" si="2"/>
        <v>45879210</v>
      </c>
      <c r="G12" s="332">
        <f t="shared" si="3"/>
        <v>8.1449096001617264E-3</v>
      </c>
      <c r="H12" s="332">
        <v>7.0872606062490949E-3</v>
      </c>
      <c r="I12" s="332">
        <v>8.1578040350184251E-3</v>
      </c>
    </row>
    <row r="13" spans="1:9" s="243" customFormat="1" x14ac:dyDescent="0.3">
      <c r="A13" s="256" t="s">
        <v>176</v>
      </c>
      <c r="B13" s="277">
        <v>267994232</v>
      </c>
      <c r="C13" s="331">
        <f t="shared" si="0"/>
        <v>4.7803866219107011E-2</v>
      </c>
      <c r="D13" s="277">
        <v>559039</v>
      </c>
      <c r="E13" s="332">
        <f t="shared" si="1"/>
        <v>2.0899671453167554E-2</v>
      </c>
      <c r="F13" s="277">
        <f t="shared" si="2"/>
        <v>268553271</v>
      </c>
      <c r="G13" s="332">
        <f t="shared" si="3"/>
        <v>4.7676106783938382E-2</v>
      </c>
      <c r="H13" s="332">
        <v>4.8153119577275867E-2</v>
      </c>
      <c r="I13" s="332">
        <v>4.6796933835723149E-2</v>
      </c>
    </row>
    <row r="14" spans="1:9" s="243" customFormat="1" x14ac:dyDescent="0.3">
      <c r="A14" s="256" t="s">
        <v>169</v>
      </c>
      <c r="B14" s="277">
        <v>1222311</v>
      </c>
      <c r="C14" s="331">
        <f t="shared" si="0"/>
        <v>2.1803152659697136E-4</v>
      </c>
      <c r="D14" s="277">
        <v>0</v>
      </c>
      <c r="E14" s="332">
        <f t="shared" si="1"/>
        <v>0</v>
      </c>
      <c r="F14" s="277">
        <f t="shared" si="2"/>
        <v>1222311</v>
      </c>
      <c r="G14" s="332">
        <f t="shared" si="3"/>
        <v>2.1699616445625979E-4</v>
      </c>
      <c r="H14" s="332">
        <v>2.4135978153043232E-4</v>
      </c>
      <c r="I14" s="332">
        <v>3.288048041283231E-4</v>
      </c>
    </row>
    <row r="15" spans="1:9" s="243" customFormat="1" x14ac:dyDescent="0.3">
      <c r="A15" s="256" t="s">
        <v>177</v>
      </c>
      <c r="B15" s="277">
        <v>57542178</v>
      </c>
      <c r="C15" s="331">
        <f t="shared" si="0"/>
        <v>1.0264170831363426E-2</v>
      </c>
      <c r="D15" s="277">
        <v>238353</v>
      </c>
      <c r="E15" s="332">
        <f t="shared" si="1"/>
        <v>8.9108262390939549E-3</v>
      </c>
      <c r="F15" s="277">
        <f t="shared" si="2"/>
        <v>57780531</v>
      </c>
      <c r="G15" s="332">
        <f t="shared" si="3"/>
        <v>1.0257744229779505E-2</v>
      </c>
      <c r="H15" s="332">
        <v>1.0967318245491299E-2</v>
      </c>
      <c r="I15" s="332">
        <v>1.1265420122687947E-2</v>
      </c>
    </row>
    <row r="16" spans="1:9" s="243" customFormat="1" x14ac:dyDescent="0.3">
      <c r="A16" s="256" t="s">
        <v>178</v>
      </c>
      <c r="B16" s="277">
        <v>1028934978</v>
      </c>
      <c r="C16" s="331">
        <f t="shared" si="0"/>
        <v>0.18353779359128825</v>
      </c>
      <c r="D16" s="277">
        <v>4460065</v>
      </c>
      <c r="E16" s="332">
        <f t="shared" si="1"/>
        <v>0.16673951756455585</v>
      </c>
      <c r="F16" s="277">
        <f t="shared" si="2"/>
        <v>1033395043</v>
      </c>
      <c r="G16" s="332">
        <f t="shared" si="3"/>
        <v>0.18345802393917068</v>
      </c>
      <c r="H16" s="332">
        <v>0.18538841006404561</v>
      </c>
      <c r="I16" s="332">
        <v>0.18422236997781291</v>
      </c>
    </row>
    <row r="17" spans="1:13" s="243" customFormat="1" x14ac:dyDescent="0.3">
      <c r="A17" s="256" t="s">
        <v>179</v>
      </c>
      <c r="B17" s="277">
        <v>357352873</v>
      </c>
      <c r="C17" s="331">
        <f t="shared" si="0"/>
        <v>6.3743345542994892E-2</v>
      </c>
      <c r="D17" s="277">
        <v>1454273</v>
      </c>
      <c r="E17" s="332">
        <f t="shared" si="1"/>
        <v>5.4367992042079955E-2</v>
      </c>
      <c r="F17" s="277">
        <f t="shared" si="2"/>
        <v>358807146</v>
      </c>
      <c r="G17" s="332">
        <f t="shared" si="3"/>
        <v>6.3698824981119548E-2</v>
      </c>
      <c r="H17" s="332">
        <v>5.0948285583808657E-2</v>
      </c>
      <c r="I17" s="332">
        <v>4.8521059646357806E-2</v>
      </c>
    </row>
    <row r="18" spans="1:13" s="243" customFormat="1" x14ac:dyDescent="0.3">
      <c r="A18" s="256" t="s">
        <v>180</v>
      </c>
      <c r="B18" s="277">
        <v>115630831</v>
      </c>
      <c r="C18" s="331">
        <f t="shared" si="0"/>
        <v>2.0625819946483669E-2</v>
      </c>
      <c r="D18" s="277">
        <v>1201704</v>
      </c>
      <c r="E18" s="332">
        <f t="shared" si="1"/>
        <v>4.4925700682702387E-2</v>
      </c>
      <c r="F18" s="277">
        <f t="shared" si="2"/>
        <v>116832535</v>
      </c>
      <c r="G18" s="332">
        <f t="shared" si="3"/>
        <v>2.0741212325424321E-2</v>
      </c>
      <c r="H18" s="332">
        <v>2.1573008337897468E-2</v>
      </c>
      <c r="I18" s="332">
        <v>1.9784720021976135E-2</v>
      </c>
    </row>
    <row r="19" spans="1:13" s="243" customFormat="1" x14ac:dyDescent="0.3">
      <c r="A19" s="256" t="s">
        <v>181</v>
      </c>
      <c r="B19" s="277">
        <v>158673</v>
      </c>
      <c r="C19" s="331">
        <f t="shared" si="0"/>
        <v>2.8303530296071323E-5</v>
      </c>
      <c r="D19" s="277">
        <v>0</v>
      </c>
      <c r="E19" s="332">
        <f t="shared" si="1"/>
        <v>0</v>
      </c>
      <c r="F19" s="277">
        <f t="shared" si="2"/>
        <v>158673</v>
      </c>
      <c r="G19" s="332">
        <f t="shared" si="3"/>
        <v>2.8169125863031674E-5</v>
      </c>
      <c r="H19" s="332">
        <v>1.8916135502036349E-5</v>
      </c>
      <c r="I19" s="332">
        <v>2.0915532638833795E-5</v>
      </c>
    </row>
    <row r="20" spans="1:13" s="243" customFormat="1" x14ac:dyDescent="0.3">
      <c r="A20" s="256" t="s">
        <v>182</v>
      </c>
      <c r="B20" s="277">
        <v>53345759</v>
      </c>
      <c r="C20" s="331">
        <f t="shared" si="0"/>
        <v>9.5156284057364478E-3</v>
      </c>
      <c r="D20" s="277">
        <v>250834</v>
      </c>
      <c r="E20" s="332">
        <f t="shared" si="1"/>
        <v>9.3774283892247758E-3</v>
      </c>
      <c r="F20" s="277">
        <f t="shared" si="2"/>
        <v>53596593</v>
      </c>
      <c r="G20" s="332">
        <f t="shared" si="3"/>
        <v>9.5149721379609795E-3</v>
      </c>
      <c r="H20" s="332">
        <v>1.7985516909220609E-2</v>
      </c>
      <c r="I20" s="332">
        <v>1.9959618705369764E-2</v>
      </c>
    </row>
    <row r="21" spans="1:13" s="243" customFormat="1" x14ac:dyDescent="0.3">
      <c r="A21" s="256" t="s">
        <v>183</v>
      </c>
      <c r="B21" s="277">
        <v>206353959</v>
      </c>
      <c r="C21" s="331">
        <f t="shared" si="0"/>
        <v>3.6808691650569159E-2</v>
      </c>
      <c r="D21" s="277">
        <v>1426060</v>
      </c>
      <c r="E21" s="332">
        <f t="shared" si="1"/>
        <v>5.3313249115900893E-2</v>
      </c>
      <c r="F21" s="277">
        <f t="shared" si="2"/>
        <v>207780019</v>
      </c>
      <c r="G21" s="332">
        <f t="shared" si="3"/>
        <v>3.6887066526971275E-2</v>
      </c>
      <c r="H21" s="332">
        <v>3.6090858665205915E-2</v>
      </c>
      <c r="I21" s="332">
        <v>3.9921048225238752E-2</v>
      </c>
    </row>
    <row r="22" spans="1:13" s="243" customFormat="1" x14ac:dyDescent="0.3">
      <c r="A22" s="256" t="s">
        <v>184</v>
      </c>
      <c r="B22" s="277">
        <v>21878838</v>
      </c>
      <c r="C22" s="331">
        <f t="shared" si="0"/>
        <v>3.902669982768565E-3</v>
      </c>
      <c r="D22" s="277">
        <v>47515</v>
      </c>
      <c r="E22" s="332">
        <f t="shared" si="1"/>
        <v>1.7763481422535033E-3</v>
      </c>
      <c r="F22" s="277">
        <f t="shared" si="2"/>
        <v>21926353</v>
      </c>
      <c r="G22" s="332">
        <f t="shared" si="3"/>
        <v>3.8925727589083346E-3</v>
      </c>
      <c r="H22" s="332">
        <v>4.2320779641776716E-3</v>
      </c>
      <c r="I22" s="332">
        <v>3.998845100729809E-3</v>
      </c>
    </row>
    <row r="23" spans="1:13" s="243" customFormat="1" x14ac:dyDescent="0.3">
      <c r="A23" s="256" t="s">
        <v>185</v>
      </c>
      <c r="B23" s="277">
        <v>3067322</v>
      </c>
      <c r="C23" s="331">
        <f t="shared" si="0"/>
        <v>5.4713808369921842E-4</v>
      </c>
      <c r="D23" s="277">
        <v>8980</v>
      </c>
      <c r="E23" s="332">
        <f t="shared" si="1"/>
        <v>3.3571727491184803E-4</v>
      </c>
      <c r="F23" s="277">
        <f t="shared" si="2"/>
        <v>3076302</v>
      </c>
      <c r="G23" s="332">
        <f t="shared" si="3"/>
        <v>5.461341137477458E-4</v>
      </c>
      <c r="H23" s="332">
        <v>5.7108939012628197E-4</v>
      </c>
      <c r="I23" s="332">
        <v>6.0144467135086219E-4</v>
      </c>
    </row>
    <row r="24" spans="1:13" s="243" customFormat="1" x14ac:dyDescent="0.3">
      <c r="A24" s="256" t="s">
        <v>186</v>
      </c>
      <c r="B24" s="277">
        <v>31422706</v>
      </c>
      <c r="C24" s="331">
        <f t="shared" si="0"/>
        <v>5.6050715071596438E-3</v>
      </c>
      <c r="D24" s="277">
        <v>115732</v>
      </c>
      <c r="E24" s="332">
        <f t="shared" si="1"/>
        <v>4.326640496670156E-3</v>
      </c>
      <c r="F24" s="277">
        <f t="shared" si="2"/>
        <v>31538438</v>
      </c>
      <c r="G24" s="332">
        <f t="shared" si="3"/>
        <v>5.5990006462688733E-3</v>
      </c>
      <c r="H24" s="332">
        <v>5.2820957093745085E-3</v>
      </c>
      <c r="I24" s="332">
        <v>5.6811017367766042E-3</v>
      </c>
    </row>
    <row r="25" spans="1:13" s="243" customFormat="1" x14ac:dyDescent="0.3">
      <c r="A25" s="256" t="s">
        <v>170</v>
      </c>
      <c r="B25" s="277">
        <v>-48</v>
      </c>
      <c r="C25" s="331">
        <f t="shared" si="0"/>
        <v>-8.5620707632138011E-9</v>
      </c>
      <c r="D25" s="277">
        <v>0</v>
      </c>
      <c r="E25" s="332">
        <f t="shared" si="1"/>
        <v>0</v>
      </c>
      <c r="F25" s="277">
        <f t="shared" si="2"/>
        <v>-48</v>
      </c>
      <c r="G25" s="332">
        <f t="shared" si="3"/>
        <v>-8.5214122215217487E-9</v>
      </c>
      <c r="H25" s="332">
        <v>2.8230976290689396E-7</v>
      </c>
      <c r="I25" s="332">
        <v>7.4659679975794027E-6</v>
      </c>
    </row>
    <row r="26" spans="1:13" s="243" customFormat="1" x14ac:dyDescent="0.3">
      <c r="A26" s="256" t="s">
        <v>187</v>
      </c>
      <c r="B26" s="277">
        <v>36046396</v>
      </c>
      <c r="C26" s="331">
        <f t="shared" si="0"/>
        <v>6.4298290273088945E-3</v>
      </c>
      <c r="D26" s="277">
        <v>129825</v>
      </c>
      <c r="E26" s="332">
        <f t="shared" si="1"/>
        <v>4.8535072622974025E-3</v>
      </c>
      <c r="F26" s="277">
        <f t="shared" si="2"/>
        <v>36176221</v>
      </c>
      <c r="G26" s="332">
        <f t="shared" si="3"/>
        <v>6.4223435782889944E-3</v>
      </c>
      <c r="H26" s="332">
        <v>6.536455009486377E-3</v>
      </c>
      <c r="I26" s="332">
        <v>6.5536790241566313E-3</v>
      </c>
    </row>
    <row r="27" spans="1:13" s="243" customFormat="1" x14ac:dyDescent="0.3">
      <c r="A27" s="256" t="s">
        <v>188</v>
      </c>
      <c r="B27" s="302">
        <v>73462318</v>
      </c>
      <c r="C27" s="334">
        <f t="shared" si="0"/>
        <v>1.3103949273869063E-2</v>
      </c>
      <c r="D27" s="302">
        <v>394084</v>
      </c>
      <c r="E27" s="335">
        <f t="shared" si="1"/>
        <v>1.4732829239015671E-2</v>
      </c>
      <c r="F27" s="302">
        <f t="shared" si="2"/>
        <v>73856402</v>
      </c>
      <c r="G27" s="335">
        <f t="shared" si="3"/>
        <v>1.3111684305008819E-2</v>
      </c>
      <c r="H27" s="335">
        <v>8.0287175335900293E-3</v>
      </c>
      <c r="I27" s="336">
        <v>7.8408612896097591E-3</v>
      </c>
    </row>
    <row r="28" spans="1:13" s="73" customFormat="1" x14ac:dyDescent="0.3">
      <c r="A28" s="337" t="s">
        <v>0</v>
      </c>
      <c r="B28" s="321">
        <f>SUM(B7:B27)</f>
        <v>3455535325</v>
      </c>
      <c r="C28" s="338">
        <f t="shared" si="0"/>
        <v>0.61638620786322917</v>
      </c>
      <c r="D28" s="321">
        <f>SUM(D7:D27)</f>
        <v>14948800</v>
      </c>
      <c r="E28" s="339">
        <f t="shared" si="1"/>
        <v>0.55886084623632892</v>
      </c>
      <c r="F28" s="321">
        <f>SUM(F7:F27)</f>
        <v>3470484125</v>
      </c>
      <c r="G28" s="339">
        <f t="shared" si="3"/>
        <v>0.61611303827858777</v>
      </c>
      <c r="H28" s="339">
        <v>0.6107641687203188</v>
      </c>
      <c r="I28" s="338">
        <v>0.61805812593090848</v>
      </c>
      <c r="J28" s="241"/>
      <c r="K28" s="340"/>
      <c r="L28" s="267"/>
      <c r="M28" s="341"/>
    </row>
    <row r="29" spans="1:13" s="243" customFormat="1" x14ac:dyDescent="0.3">
      <c r="A29" s="337"/>
      <c r="B29" s="320"/>
      <c r="C29" s="331"/>
      <c r="D29" s="320"/>
      <c r="E29" s="332"/>
      <c r="F29" s="320"/>
      <c r="G29" s="332"/>
      <c r="H29" s="332"/>
      <c r="I29" s="331"/>
      <c r="J29" s="244"/>
      <c r="K29" s="342"/>
      <c r="L29" s="259"/>
      <c r="M29" s="343"/>
    </row>
    <row r="30" spans="1:13" s="243" customFormat="1" x14ac:dyDescent="0.3">
      <c r="A30" s="337" t="s">
        <v>148</v>
      </c>
      <c r="B30" s="320"/>
      <c r="C30" s="331"/>
      <c r="D30" s="320"/>
      <c r="E30" s="332"/>
      <c r="F30" s="320"/>
      <c r="G30" s="332"/>
      <c r="H30" s="332"/>
      <c r="I30" s="331"/>
      <c r="J30" s="244"/>
      <c r="K30" s="342"/>
      <c r="L30" s="259"/>
      <c r="M30" s="343"/>
    </row>
    <row r="31" spans="1:13" s="243" customFormat="1" x14ac:dyDescent="0.3">
      <c r="A31" s="85" t="s">
        <v>149</v>
      </c>
      <c r="B31" s="310">
        <v>612098</v>
      </c>
      <c r="C31" s="331">
        <f>B31/$B$36</f>
        <v>1.0918388312545086E-4</v>
      </c>
      <c r="D31" s="310">
        <v>211565</v>
      </c>
      <c r="E31" s="332">
        <f>D31/$D$36</f>
        <v>7.9093569339337561E-3</v>
      </c>
      <c r="F31" s="310">
        <f t="shared" si="2"/>
        <v>823663</v>
      </c>
      <c r="G31" s="332">
        <f t="shared" si="3"/>
        <v>1.4622441572115141E-4</v>
      </c>
      <c r="H31" s="332">
        <v>1.3787183441476216E-4</v>
      </c>
      <c r="I31" s="331">
        <v>1.6846689809499278E-4</v>
      </c>
      <c r="J31" s="244"/>
      <c r="K31" s="342"/>
      <c r="L31" s="259"/>
      <c r="M31" s="343"/>
    </row>
    <row r="32" spans="1:13" s="243" customFormat="1" x14ac:dyDescent="0.3">
      <c r="A32" s="85" t="s">
        <v>150</v>
      </c>
      <c r="B32" s="277">
        <v>204271695</v>
      </c>
      <c r="C32" s="331">
        <f>B32/$B$36</f>
        <v>3.6437264739825559E-2</v>
      </c>
      <c r="D32" s="277">
        <v>1163790</v>
      </c>
      <c r="E32" s="332">
        <f>D32/$D$36</f>
        <v>4.3508285898625793E-2</v>
      </c>
      <c r="F32" s="277">
        <f t="shared" si="2"/>
        <v>205435485</v>
      </c>
      <c r="G32" s="332">
        <f t="shared" si="3"/>
        <v>3.6470842762775998E-2</v>
      </c>
      <c r="H32" s="332">
        <v>3.6143762749952277E-2</v>
      </c>
      <c r="I32" s="331">
        <v>3.2683634840263931E-2</v>
      </c>
      <c r="J32" s="244"/>
      <c r="K32" s="342"/>
      <c r="L32" s="259"/>
      <c r="M32" s="343"/>
    </row>
    <row r="33" spans="1:16" s="243" customFormat="1" x14ac:dyDescent="0.3">
      <c r="A33" s="256" t="s">
        <v>167</v>
      </c>
      <c r="B33" s="302">
        <v>1945701332</v>
      </c>
      <c r="C33" s="334">
        <f>B33/$B$36</f>
        <v>0.34706734351381979</v>
      </c>
      <c r="D33" s="302">
        <v>10424543</v>
      </c>
      <c r="E33" s="335">
        <f>D33/$D$36</f>
        <v>0.38972151093111151</v>
      </c>
      <c r="F33" s="302">
        <f t="shared" si="2"/>
        <v>1956125875</v>
      </c>
      <c r="G33" s="335">
        <f t="shared" si="3"/>
        <v>0.34726989454291507</v>
      </c>
      <c r="H33" s="335">
        <v>0.35295419669531425</v>
      </c>
      <c r="I33" s="335">
        <v>0.34908977233073246</v>
      </c>
    </row>
    <row r="34" spans="1:16" s="73" customFormat="1" x14ac:dyDescent="0.3">
      <c r="A34" s="337" t="s">
        <v>151</v>
      </c>
      <c r="B34" s="306">
        <f>SUM(B31:B33)</f>
        <v>2150585125</v>
      </c>
      <c r="C34" s="338">
        <f>B34/$B$36</f>
        <v>0.38361379213677083</v>
      </c>
      <c r="D34" s="306">
        <f>SUM(D31:D33)</f>
        <v>11799898</v>
      </c>
      <c r="E34" s="339">
        <f>D34/$D$36</f>
        <v>0.44113915376367102</v>
      </c>
      <c r="F34" s="306">
        <f>SUM(F31:F33)</f>
        <v>2162385023</v>
      </c>
      <c r="G34" s="339">
        <f t="shared" si="3"/>
        <v>0.38388696172141223</v>
      </c>
      <c r="H34" s="339">
        <v>0.38923583127968131</v>
      </c>
      <c r="I34" s="339">
        <v>0.38194187406909141</v>
      </c>
    </row>
    <row r="35" spans="1:16" s="243" customFormat="1" x14ac:dyDescent="0.3">
      <c r="B35" s="277"/>
      <c r="C35" s="331"/>
      <c r="D35" s="277"/>
      <c r="E35" s="332"/>
      <c r="F35" s="277"/>
      <c r="G35" s="332"/>
      <c r="H35" s="332"/>
      <c r="I35" s="332"/>
    </row>
    <row r="36" spans="1:16" s="73" customFormat="1" x14ac:dyDescent="0.3">
      <c r="A36" s="311" t="s">
        <v>152</v>
      </c>
      <c r="B36" s="321">
        <f>B28+B34</f>
        <v>5606120450</v>
      </c>
      <c r="C36" s="338">
        <f>B36/$B$36</f>
        <v>1</v>
      </c>
      <c r="D36" s="321">
        <f t="shared" ref="D36" si="4">D28+D34</f>
        <v>26748698</v>
      </c>
      <c r="E36" s="339">
        <f>D36/$D$36</f>
        <v>1</v>
      </c>
      <c r="F36" s="321">
        <f>F28+F34</f>
        <v>5632869148</v>
      </c>
      <c r="G36" s="339">
        <f t="shared" si="3"/>
        <v>1</v>
      </c>
      <c r="H36" s="339">
        <v>1</v>
      </c>
      <c r="I36" s="339">
        <v>1</v>
      </c>
    </row>
    <row r="37" spans="1:16" s="73" customFormat="1" x14ac:dyDescent="0.3">
      <c r="A37" s="243"/>
      <c r="B37" s="344"/>
      <c r="C37" s="339"/>
      <c r="D37" s="344"/>
      <c r="E37" s="339"/>
      <c r="F37" s="344"/>
      <c r="G37" s="332"/>
      <c r="H37" s="339"/>
      <c r="I37" s="339"/>
    </row>
    <row r="38" spans="1:16" s="73" customFormat="1" x14ac:dyDescent="0.3">
      <c r="A38" s="6" t="s">
        <v>193</v>
      </c>
      <c r="B38" s="72">
        <v>392850</v>
      </c>
      <c r="C38" s="339"/>
      <c r="D38" s="72">
        <v>2314</v>
      </c>
      <c r="E38" s="339"/>
      <c r="F38" s="345">
        <f>B38+D38</f>
        <v>395164</v>
      </c>
      <c r="G38" s="339"/>
      <c r="H38" s="339"/>
      <c r="I38" s="339"/>
    </row>
    <row r="39" spans="1:16" s="241" customFormat="1" x14ac:dyDescent="0.3">
      <c r="A39" s="125" t="s">
        <v>381</v>
      </c>
      <c r="B39" s="35">
        <f>B36/B38</f>
        <v>14270.384243349879</v>
      </c>
      <c r="C39" s="35"/>
      <c r="D39" s="35">
        <f t="shared" ref="D39:F39" si="5">D36/D38</f>
        <v>11559.506482281764</v>
      </c>
      <c r="E39" s="35"/>
      <c r="F39" s="35">
        <f t="shared" si="5"/>
        <v>14254.50989462603</v>
      </c>
      <c r="G39" s="447"/>
      <c r="H39" s="447"/>
      <c r="I39" s="338"/>
    </row>
    <row r="40" spans="1:16" s="243" customFormat="1" x14ac:dyDescent="0.3">
      <c r="B40" s="312"/>
      <c r="C40" s="331"/>
      <c r="D40" s="312"/>
      <c r="E40" s="332"/>
      <c r="F40" s="315"/>
      <c r="G40" s="332"/>
      <c r="H40" s="332"/>
      <c r="I40" s="332"/>
    </row>
    <row r="41" spans="1:16" s="49" customFormat="1" ht="13.5" x14ac:dyDescent="0.3">
      <c r="A41" s="322"/>
      <c r="B41" s="323"/>
      <c r="C41" s="346"/>
      <c r="D41" s="323"/>
      <c r="E41" s="136"/>
      <c r="F41" s="126"/>
      <c r="G41" s="136"/>
      <c r="H41" s="127"/>
      <c r="I41" s="137"/>
      <c r="J41" s="129"/>
    </row>
    <row r="42" spans="1:16" s="118" customFormat="1" ht="12" customHeight="1" x14ac:dyDescent="0.3">
      <c r="A42" s="474" t="s">
        <v>190</v>
      </c>
      <c r="B42" s="475"/>
      <c r="C42" s="475"/>
      <c r="D42" s="475"/>
      <c r="E42" s="475"/>
      <c r="F42" s="475"/>
      <c r="G42" s="475"/>
      <c r="H42" s="475"/>
      <c r="I42" s="475"/>
      <c r="J42" s="475"/>
      <c r="K42" s="475"/>
      <c r="L42" s="475"/>
      <c r="M42" s="475"/>
      <c r="N42" s="117"/>
      <c r="O42" s="117"/>
      <c r="P42" s="117"/>
    </row>
    <row r="43" spans="1:16" s="118" customFormat="1" ht="12" customHeight="1" x14ac:dyDescent="0.3">
      <c r="A43" s="224" t="s">
        <v>162</v>
      </c>
      <c r="B43" s="225"/>
      <c r="C43" s="225"/>
      <c r="D43" s="225"/>
      <c r="E43" s="225"/>
      <c r="F43" s="225"/>
      <c r="G43" s="225"/>
      <c r="H43" s="225"/>
      <c r="I43" s="225"/>
      <c r="J43" s="225"/>
      <c r="K43" s="225"/>
      <c r="L43" s="225"/>
      <c r="M43" s="225"/>
      <c r="N43" s="117"/>
      <c r="O43" s="117"/>
      <c r="P43" s="117"/>
    </row>
    <row r="44" spans="1:16" s="75" customFormat="1" ht="14.25" x14ac:dyDescent="0.3">
      <c r="A44" s="158" t="s">
        <v>382</v>
      </c>
      <c r="B44" s="347"/>
      <c r="C44" s="348"/>
      <c r="D44" s="325"/>
      <c r="E44" s="349"/>
      <c r="F44" s="325"/>
      <c r="G44" s="348"/>
      <c r="H44" s="348"/>
      <c r="I44" s="348"/>
    </row>
    <row r="46" spans="1:16" x14ac:dyDescent="0.25">
      <c r="D46" s="103"/>
    </row>
  </sheetData>
  <mergeCells count="5">
    <mergeCell ref="A1:I1"/>
    <mergeCell ref="A2:I2"/>
    <mergeCell ref="A3:I3"/>
    <mergeCell ref="A4:I4"/>
    <mergeCell ref="A42:M42"/>
  </mergeCells>
  <pageMargins left="0.7" right="0.7" top="0.75" bottom="0.75" header="0.3" footer="0.3"/>
  <pageSetup orientation="portrait" horizontalDpi="4294967293" verticalDpi="0" r:id="rId1"/>
  <ignoredErrors>
    <ignoredError sqref="C35:I36 C28:G30 C34:G34 C33 E33:G33 C31:C32 E31:G32"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6"/>
  <sheetViews>
    <sheetView showGridLines="0" workbookViewId="0">
      <pane ySplit="6" topLeftCell="A21" activePane="bottomLeft" state="frozen"/>
      <selection pane="bottomLeft" activeCell="A7" sqref="A7"/>
    </sheetView>
  </sheetViews>
  <sheetFormatPr defaultColWidth="9.140625" defaultRowHeight="15" x14ac:dyDescent="0.25"/>
  <cols>
    <col min="1" max="1" width="45.42578125" style="15" bestFit="1" customWidth="1"/>
    <col min="2" max="2" width="16.28515625" style="154" bestFit="1" customWidth="1"/>
    <col min="3" max="3" width="12.5703125" style="155" customWidth="1"/>
    <col min="4" max="4" width="22.140625" style="154" customWidth="1"/>
    <col min="5" max="5" width="12.42578125" style="156" customWidth="1"/>
    <col min="6" max="6" width="28.28515625" style="154" bestFit="1" customWidth="1"/>
    <col min="7" max="7" width="12.28515625" style="156" customWidth="1"/>
    <col min="8" max="8" width="23.42578125" style="154" customWidth="1"/>
    <col min="9" max="9" width="12" style="156" customWidth="1"/>
    <col min="10" max="10" width="18.140625" style="154" customWidth="1"/>
    <col min="11" max="11" width="11.85546875" style="156" customWidth="1"/>
    <col min="12" max="12" width="20.42578125" style="154" customWidth="1"/>
    <col min="13" max="13" width="12.42578125" style="156" customWidth="1"/>
    <col min="14" max="14" width="19.28515625" style="154" customWidth="1"/>
    <col min="15" max="15" width="11.42578125" style="156" customWidth="1"/>
    <col min="16" max="16" width="22.42578125" style="15" customWidth="1"/>
    <col min="17" max="17" width="9.140625" style="157"/>
    <col min="18" max="16384" width="9.140625" style="15"/>
  </cols>
  <sheetData>
    <row r="1" spans="1:18" s="138" customFormat="1" ht="18" x14ac:dyDescent="0.35">
      <c r="A1" s="480" t="s">
        <v>194</v>
      </c>
      <c r="B1" s="480"/>
      <c r="C1" s="480"/>
      <c r="D1" s="480"/>
      <c r="E1" s="480"/>
      <c r="F1" s="480"/>
      <c r="G1" s="480"/>
      <c r="H1" s="480"/>
      <c r="I1" s="480"/>
      <c r="J1" s="480"/>
      <c r="K1" s="480"/>
      <c r="L1" s="480"/>
      <c r="M1" s="480"/>
      <c r="N1" s="480"/>
      <c r="O1" s="480"/>
      <c r="P1" s="480"/>
      <c r="Q1" s="480"/>
      <c r="R1" s="480"/>
    </row>
    <row r="2" spans="1:18" s="138" customFormat="1" ht="18" x14ac:dyDescent="0.35">
      <c r="A2" s="481" t="s">
        <v>2</v>
      </c>
      <c r="B2" s="481"/>
      <c r="C2" s="481"/>
      <c r="D2" s="481"/>
      <c r="E2" s="481"/>
      <c r="F2" s="481"/>
      <c r="G2" s="481"/>
      <c r="H2" s="481"/>
      <c r="I2" s="481"/>
      <c r="J2" s="481"/>
      <c r="K2" s="481"/>
      <c r="L2" s="481"/>
      <c r="M2" s="481"/>
      <c r="N2" s="481"/>
      <c r="O2" s="481"/>
      <c r="P2" s="481"/>
      <c r="Q2" s="481"/>
      <c r="R2" s="481"/>
    </row>
    <row r="3" spans="1:18" s="138" customFormat="1" ht="18" x14ac:dyDescent="0.35">
      <c r="A3" s="482" t="s">
        <v>363</v>
      </c>
      <c r="B3" s="482"/>
      <c r="C3" s="482"/>
      <c r="D3" s="482"/>
      <c r="E3" s="482"/>
      <c r="F3" s="482"/>
      <c r="G3" s="482"/>
      <c r="H3" s="482"/>
      <c r="I3" s="482"/>
      <c r="J3" s="482"/>
      <c r="K3" s="482"/>
      <c r="L3" s="482"/>
      <c r="M3" s="482"/>
      <c r="N3" s="482"/>
      <c r="O3" s="482"/>
      <c r="P3" s="482"/>
      <c r="Q3" s="482"/>
      <c r="R3" s="482"/>
    </row>
    <row r="4" spans="1:18" s="138" customFormat="1" ht="18" x14ac:dyDescent="0.35">
      <c r="A4" s="480" t="s">
        <v>404</v>
      </c>
      <c r="B4" s="480"/>
      <c r="C4" s="480"/>
      <c r="D4" s="480"/>
      <c r="E4" s="480"/>
      <c r="F4" s="480"/>
      <c r="G4" s="480"/>
      <c r="H4" s="480"/>
      <c r="I4" s="480"/>
      <c r="J4" s="480"/>
      <c r="K4" s="480"/>
      <c r="L4" s="480"/>
      <c r="M4" s="480"/>
      <c r="N4" s="480"/>
      <c r="O4" s="480"/>
      <c r="P4" s="480"/>
      <c r="Q4" s="480"/>
      <c r="R4" s="480"/>
    </row>
    <row r="5" spans="1:18" s="140" customFormat="1" ht="16.5" x14ac:dyDescent="0.3">
      <c r="A5" s="139"/>
      <c r="B5" s="139"/>
      <c r="C5" s="139"/>
      <c r="D5" s="139"/>
      <c r="E5" s="139"/>
      <c r="F5" s="139"/>
      <c r="G5" s="139"/>
      <c r="H5" s="139"/>
      <c r="I5" s="139"/>
      <c r="J5" s="139"/>
      <c r="K5" s="139"/>
      <c r="L5" s="139"/>
      <c r="M5" s="139"/>
      <c r="N5" s="139"/>
      <c r="O5" s="139"/>
      <c r="P5" s="139"/>
      <c r="Q5" s="139"/>
      <c r="R5" s="139"/>
    </row>
    <row r="6" spans="1:18" s="145" customFormat="1" ht="75" x14ac:dyDescent="0.3">
      <c r="A6" s="141" t="s">
        <v>3</v>
      </c>
      <c r="B6" s="142" t="s">
        <v>195</v>
      </c>
      <c r="C6" s="143" t="s">
        <v>196</v>
      </c>
      <c r="D6" s="144" t="s">
        <v>353</v>
      </c>
      <c r="E6" s="143" t="s">
        <v>196</v>
      </c>
      <c r="F6" s="144" t="s">
        <v>197</v>
      </c>
      <c r="G6" s="143" t="s">
        <v>196</v>
      </c>
      <c r="H6" s="144" t="s">
        <v>29</v>
      </c>
      <c r="I6" s="143" t="s">
        <v>196</v>
      </c>
      <c r="J6" s="144" t="s">
        <v>13</v>
      </c>
      <c r="K6" s="143" t="s">
        <v>196</v>
      </c>
      <c r="L6" s="144" t="s">
        <v>198</v>
      </c>
      <c r="M6" s="143" t="s">
        <v>196</v>
      </c>
      <c r="N6" s="144" t="s">
        <v>15</v>
      </c>
      <c r="O6" s="143" t="s">
        <v>196</v>
      </c>
      <c r="P6" s="144" t="s">
        <v>199</v>
      </c>
      <c r="Q6" s="443" t="s">
        <v>369</v>
      </c>
      <c r="R6" s="443" t="s">
        <v>370</v>
      </c>
    </row>
    <row r="7" spans="1:18" s="243" customFormat="1" x14ac:dyDescent="0.3">
      <c r="A7" s="148" t="s">
        <v>171</v>
      </c>
      <c r="B7" s="257">
        <v>150958108</v>
      </c>
      <c r="C7" s="350">
        <f>B7/$B$36</f>
        <v>0.12945232258368561</v>
      </c>
      <c r="D7" s="257">
        <v>45462735</v>
      </c>
      <c r="E7" s="350">
        <f>D7/$D$36</f>
        <v>0.278062068502959</v>
      </c>
      <c r="F7" s="257">
        <v>121590530</v>
      </c>
      <c r="G7" s="350">
        <f>F7/$F$36</f>
        <v>7.9759321147820902E-2</v>
      </c>
      <c r="H7" s="257">
        <v>189732217</v>
      </c>
      <c r="I7" s="350">
        <f>H7/$H$36</f>
        <v>0.17664735708210824</v>
      </c>
      <c r="J7" s="257">
        <v>9492833</v>
      </c>
      <c r="K7" s="350">
        <f>J7/$J$36</f>
        <v>3.2502985068044707E-2</v>
      </c>
      <c r="L7" s="257">
        <v>850383</v>
      </c>
      <c r="M7" s="350">
        <f>L7/$L$36</f>
        <v>5.7500791463098479E-2</v>
      </c>
      <c r="N7" s="257">
        <v>0</v>
      </c>
      <c r="O7" s="350">
        <f>N7/$N$36</f>
        <v>0</v>
      </c>
      <c r="P7" s="257">
        <f>SUM(B7,D7,F7,H7,J7,L7,N7)</f>
        <v>518086806</v>
      </c>
      <c r="Q7" s="350">
        <f>P7/$P$36</f>
        <v>0.12195693867185961</v>
      </c>
      <c r="R7" s="350">
        <v>0.11554484914237581</v>
      </c>
    </row>
    <row r="8" spans="1:18" s="243" customFormat="1" x14ac:dyDescent="0.3">
      <c r="A8" s="148" t="s">
        <v>172</v>
      </c>
      <c r="B8" s="257">
        <v>219662480</v>
      </c>
      <c r="C8" s="350">
        <f t="shared" ref="C8:C36" si="0">B8/$B$36</f>
        <v>0.18836893623820714</v>
      </c>
      <c r="D8" s="257">
        <v>23712092</v>
      </c>
      <c r="E8" s="350">
        <f t="shared" ref="E8:E36" si="1">D8/$D$36</f>
        <v>0.14502940375347997</v>
      </c>
      <c r="F8" s="257">
        <v>152616498</v>
      </c>
      <c r="G8" s="350">
        <f t="shared" ref="G8:G36" si="2">F8/$F$36</f>
        <v>0.10011131850842139</v>
      </c>
      <c r="H8" s="257">
        <v>105451201</v>
      </c>
      <c r="I8" s="350">
        <f t="shared" ref="I8:I36" si="3">H8/$H$36</f>
        <v>9.8178771388014549E-2</v>
      </c>
      <c r="J8" s="257">
        <v>31314137</v>
      </c>
      <c r="K8" s="350">
        <f t="shared" ref="K8:K36" si="4">J8/$J$36</f>
        <v>0.10721803779016298</v>
      </c>
      <c r="L8" s="257">
        <v>7669370</v>
      </c>
      <c r="M8" s="350">
        <f t="shared" ref="M8:M36" si="5">L8/$L$36</f>
        <v>0.51858379697541412</v>
      </c>
      <c r="N8" s="257">
        <v>109701</v>
      </c>
      <c r="O8" s="350">
        <f t="shared" ref="O8:O36" si="6">N8/$N$36</f>
        <v>8.3777347957145788E-3</v>
      </c>
      <c r="P8" s="257">
        <f t="shared" ref="P8:P27" si="7">SUM(B8,D8,F8,H8,J8,L8,N8)</f>
        <v>540535479</v>
      </c>
      <c r="Q8" s="350">
        <f t="shared" ref="Q8:Q36" si="8">P8/$P$36</f>
        <v>0.1272413261617924</v>
      </c>
      <c r="R8" s="350">
        <v>0.12884495821921696</v>
      </c>
    </row>
    <row r="9" spans="1:18" s="243" customFormat="1" x14ac:dyDescent="0.3">
      <c r="A9" s="148" t="s">
        <v>173</v>
      </c>
      <c r="B9" s="271">
        <v>0</v>
      </c>
      <c r="C9" s="350">
        <f t="shared" si="0"/>
        <v>0</v>
      </c>
      <c r="D9" s="271">
        <v>0</v>
      </c>
      <c r="E9" s="350">
        <f t="shared" si="1"/>
        <v>0</v>
      </c>
      <c r="F9" s="271">
        <v>0</v>
      </c>
      <c r="G9" s="350">
        <f t="shared" si="2"/>
        <v>0</v>
      </c>
      <c r="H9" s="271">
        <v>0</v>
      </c>
      <c r="I9" s="350">
        <f t="shared" si="3"/>
        <v>0</v>
      </c>
      <c r="J9" s="271">
        <v>0</v>
      </c>
      <c r="K9" s="350">
        <f t="shared" si="4"/>
        <v>0</v>
      </c>
      <c r="L9" s="271">
        <v>0</v>
      </c>
      <c r="M9" s="350">
        <f t="shared" si="5"/>
        <v>0</v>
      </c>
      <c r="N9" s="271">
        <v>0</v>
      </c>
      <c r="O9" s="350">
        <f t="shared" si="6"/>
        <v>0</v>
      </c>
      <c r="P9" s="271">
        <f t="shared" si="7"/>
        <v>0</v>
      </c>
      <c r="Q9" s="350">
        <f t="shared" si="8"/>
        <v>0</v>
      </c>
      <c r="R9" s="350">
        <v>0</v>
      </c>
    </row>
    <row r="10" spans="1:18" s="243" customFormat="1" x14ac:dyDescent="0.3">
      <c r="A10" s="148" t="s">
        <v>168</v>
      </c>
      <c r="B10" s="257">
        <v>0</v>
      </c>
      <c r="C10" s="350">
        <f t="shared" si="0"/>
        <v>0</v>
      </c>
      <c r="D10" s="257">
        <v>0</v>
      </c>
      <c r="E10" s="350">
        <f t="shared" si="1"/>
        <v>0</v>
      </c>
      <c r="F10" s="257">
        <v>0</v>
      </c>
      <c r="G10" s="350">
        <f t="shared" si="2"/>
        <v>0</v>
      </c>
      <c r="H10" s="257">
        <v>0</v>
      </c>
      <c r="I10" s="350">
        <f t="shared" si="3"/>
        <v>0</v>
      </c>
      <c r="J10" s="257">
        <v>0</v>
      </c>
      <c r="K10" s="350">
        <f t="shared" si="4"/>
        <v>0</v>
      </c>
      <c r="L10" s="257">
        <v>0</v>
      </c>
      <c r="M10" s="350">
        <f t="shared" si="5"/>
        <v>0</v>
      </c>
      <c r="N10" s="257">
        <v>0</v>
      </c>
      <c r="O10" s="350">
        <f t="shared" si="6"/>
        <v>0</v>
      </c>
      <c r="P10" s="257">
        <f t="shared" si="7"/>
        <v>0</v>
      </c>
      <c r="Q10" s="350">
        <f t="shared" si="8"/>
        <v>0</v>
      </c>
      <c r="R10" s="350">
        <v>0</v>
      </c>
    </row>
    <row r="11" spans="1:18" s="243" customFormat="1" x14ac:dyDescent="0.3">
      <c r="A11" s="148" t="s">
        <v>174</v>
      </c>
      <c r="B11" s="257">
        <v>224881167</v>
      </c>
      <c r="C11" s="350">
        <f t="shared" si="0"/>
        <v>0.192844158946929</v>
      </c>
      <c r="D11" s="257">
        <v>48552417</v>
      </c>
      <c r="E11" s="350">
        <f t="shared" si="1"/>
        <v>0.29695937786933035</v>
      </c>
      <c r="F11" s="257">
        <v>247658481</v>
      </c>
      <c r="G11" s="350">
        <f t="shared" si="2"/>
        <v>0.16245568072661992</v>
      </c>
      <c r="H11" s="257">
        <v>229143910</v>
      </c>
      <c r="I11" s="350">
        <f t="shared" si="3"/>
        <v>0.21334102733306737</v>
      </c>
      <c r="J11" s="257">
        <v>57189636</v>
      </c>
      <c r="K11" s="350">
        <f t="shared" si="4"/>
        <v>0.19581445127654851</v>
      </c>
      <c r="L11" s="257">
        <v>2548064</v>
      </c>
      <c r="M11" s="350">
        <f t="shared" si="5"/>
        <v>0.17229377433301063</v>
      </c>
      <c r="N11" s="257">
        <v>451244</v>
      </c>
      <c r="O11" s="350">
        <f t="shared" si="6"/>
        <v>3.4460967175845521E-2</v>
      </c>
      <c r="P11" s="257">
        <f t="shared" si="7"/>
        <v>810424919</v>
      </c>
      <c r="Q11" s="350">
        <f t="shared" si="8"/>
        <v>0.19077293804820383</v>
      </c>
      <c r="R11" s="350">
        <v>0.19049325377107298</v>
      </c>
    </row>
    <row r="12" spans="1:18" s="243" customFormat="1" x14ac:dyDescent="0.3">
      <c r="A12" s="148" t="s">
        <v>175</v>
      </c>
      <c r="B12" s="257">
        <v>19849053</v>
      </c>
      <c r="C12" s="350">
        <f t="shared" si="0"/>
        <v>1.7021318337778004E-2</v>
      </c>
      <c r="D12" s="257">
        <v>6553249</v>
      </c>
      <c r="E12" s="350">
        <f t="shared" si="1"/>
        <v>4.0081397926344457E-2</v>
      </c>
      <c r="F12" s="257">
        <v>27159191</v>
      </c>
      <c r="G12" s="350">
        <f t="shared" si="2"/>
        <v>1.7815520970950675E-2</v>
      </c>
      <c r="H12" s="257">
        <v>22132818</v>
      </c>
      <c r="I12" s="350">
        <f t="shared" si="3"/>
        <v>2.0606430822865011E-2</v>
      </c>
      <c r="J12" s="257">
        <v>5581101</v>
      </c>
      <c r="K12" s="350">
        <f t="shared" si="4"/>
        <v>1.9109410485389281E-2</v>
      </c>
      <c r="L12" s="257">
        <v>80551</v>
      </c>
      <c r="M12" s="350">
        <f t="shared" si="5"/>
        <v>5.4466590385085847E-3</v>
      </c>
      <c r="N12" s="257">
        <v>123346</v>
      </c>
      <c r="O12" s="350">
        <f t="shared" si="6"/>
        <v>9.4197872044212046E-3</v>
      </c>
      <c r="P12" s="257">
        <f t="shared" si="7"/>
        <v>81479309</v>
      </c>
      <c r="Q12" s="350">
        <f t="shared" si="8"/>
        <v>1.9180119963793284E-2</v>
      </c>
      <c r="R12" s="350">
        <v>1.837396818432405E-2</v>
      </c>
    </row>
    <row r="13" spans="1:18" s="243" customFormat="1" x14ac:dyDescent="0.3">
      <c r="A13" s="148" t="s">
        <v>176</v>
      </c>
      <c r="B13" s="257">
        <v>145692</v>
      </c>
      <c r="C13" s="350">
        <f t="shared" si="0"/>
        <v>1.24936434562775E-4</v>
      </c>
      <c r="D13" s="257">
        <v>0</v>
      </c>
      <c r="E13" s="350">
        <f t="shared" si="1"/>
        <v>0</v>
      </c>
      <c r="F13" s="257">
        <v>0</v>
      </c>
      <c r="G13" s="350">
        <f t="shared" si="2"/>
        <v>0</v>
      </c>
      <c r="H13" s="257">
        <v>0</v>
      </c>
      <c r="I13" s="350">
        <f t="shared" si="3"/>
        <v>0</v>
      </c>
      <c r="J13" s="257">
        <v>0</v>
      </c>
      <c r="K13" s="350">
        <f t="shared" si="4"/>
        <v>0</v>
      </c>
      <c r="L13" s="257">
        <v>0</v>
      </c>
      <c r="M13" s="350">
        <f t="shared" si="5"/>
        <v>0</v>
      </c>
      <c r="N13" s="257">
        <v>0</v>
      </c>
      <c r="O13" s="350">
        <f t="shared" si="6"/>
        <v>0</v>
      </c>
      <c r="P13" s="257">
        <f t="shared" si="7"/>
        <v>145692</v>
      </c>
      <c r="Q13" s="350">
        <f t="shared" si="8"/>
        <v>3.4295701228455086E-5</v>
      </c>
      <c r="R13" s="350">
        <v>8.9461198628260381E-5</v>
      </c>
    </row>
    <row r="14" spans="1:18" s="243" customFormat="1" x14ac:dyDescent="0.3">
      <c r="A14" s="148" t="s">
        <v>169</v>
      </c>
      <c r="B14" s="257">
        <v>0</v>
      </c>
      <c r="C14" s="350">
        <f t="shared" si="0"/>
        <v>0</v>
      </c>
      <c r="D14" s="257">
        <v>0</v>
      </c>
      <c r="E14" s="350">
        <f t="shared" si="1"/>
        <v>0</v>
      </c>
      <c r="F14" s="257">
        <v>288959</v>
      </c>
      <c r="G14" s="350">
        <f t="shared" si="2"/>
        <v>1.8954743991619397E-4</v>
      </c>
      <c r="H14" s="257">
        <v>56517</v>
      </c>
      <c r="I14" s="350">
        <f t="shared" si="3"/>
        <v>5.2619311775656479E-5</v>
      </c>
      <c r="J14" s="257">
        <v>0</v>
      </c>
      <c r="K14" s="350">
        <f t="shared" si="4"/>
        <v>0</v>
      </c>
      <c r="L14" s="257">
        <v>0</v>
      </c>
      <c r="M14" s="350">
        <f t="shared" si="5"/>
        <v>0</v>
      </c>
      <c r="N14" s="257">
        <v>0</v>
      </c>
      <c r="O14" s="350">
        <f t="shared" si="6"/>
        <v>0</v>
      </c>
      <c r="P14" s="257">
        <f t="shared" si="7"/>
        <v>345476</v>
      </c>
      <c r="Q14" s="350">
        <f t="shared" si="8"/>
        <v>8.1324586645812734E-5</v>
      </c>
      <c r="R14" s="350">
        <v>5.8383708879124847E-5</v>
      </c>
    </row>
    <row r="15" spans="1:18" s="243" customFormat="1" x14ac:dyDescent="0.3">
      <c r="A15" s="148" t="s">
        <v>177</v>
      </c>
      <c r="B15" s="257">
        <v>42556572</v>
      </c>
      <c r="C15" s="350">
        <f t="shared" si="0"/>
        <v>3.6493880054457507E-2</v>
      </c>
      <c r="D15" s="257">
        <v>1334982</v>
      </c>
      <c r="E15" s="350">
        <f t="shared" si="1"/>
        <v>8.1651017329735492E-3</v>
      </c>
      <c r="F15" s="257">
        <v>114897852</v>
      </c>
      <c r="G15" s="350">
        <f t="shared" si="2"/>
        <v>7.5369148212963602E-2</v>
      </c>
      <c r="H15" s="257">
        <v>93633070</v>
      </c>
      <c r="I15" s="350">
        <f t="shared" si="3"/>
        <v>8.7175676395453899E-2</v>
      </c>
      <c r="J15" s="257">
        <v>34719459</v>
      </c>
      <c r="K15" s="350">
        <f t="shared" si="4"/>
        <v>0.11887768987904773</v>
      </c>
      <c r="L15" s="257">
        <v>125634</v>
      </c>
      <c r="M15" s="350">
        <f t="shared" si="5"/>
        <v>8.495059796203493E-3</v>
      </c>
      <c r="N15" s="257">
        <v>0</v>
      </c>
      <c r="O15" s="350">
        <f t="shared" si="6"/>
        <v>0</v>
      </c>
      <c r="P15" s="257">
        <f t="shared" si="7"/>
        <v>287267569</v>
      </c>
      <c r="Q15" s="350">
        <f t="shared" si="8"/>
        <v>6.7622400125254681E-2</v>
      </c>
      <c r="R15" s="350">
        <v>6.7985037568307233E-2</v>
      </c>
    </row>
    <row r="16" spans="1:18" s="243" customFormat="1" x14ac:dyDescent="0.3">
      <c r="A16" s="148" t="s">
        <v>178</v>
      </c>
      <c r="B16" s="257">
        <v>288096639</v>
      </c>
      <c r="C16" s="350">
        <f t="shared" si="0"/>
        <v>0.24705383196180239</v>
      </c>
      <c r="D16" s="257">
        <v>13119245</v>
      </c>
      <c r="E16" s="350">
        <f t="shared" si="1"/>
        <v>8.0240759864031549E-2</v>
      </c>
      <c r="F16" s="257">
        <v>304079858</v>
      </c>
      <c r="G16" s="350">
        <f t="shared" si="2"/>
        <v>0.1994662170549448</v>
      </c>
      <c r="H16" s="257">
        <v>162281971</v>
      </c>
      <c r="I16" s="350">
        <f t="shared" si="3"/>
        <v>0.15109021405271059</v>
      </c>
      <c r="J16" s="257">
        <v>60653211</v>
      </c>
      <c r="K16" s="350">
        <f t="shared" si="4"/>
        <v>0.20767355872182361</v>
      </c>
      <c r="L16" s="257">
        <v>2688994</v>
      </c>
      <c r="M16" s="350">
        <f t="shared" si="5"/>
        <v>0.18182311175026197</v>
      </c>
      <c r="N16" s="257">
        <v>309621</v>
      </c>
      <c r="O16" s="350">
        <f t="shared" si="6"/>
        <v>2.3645387236068439E-2</v>
      </c>
      <c r="P16" s="257">
        <f t="shared" si="7"/>
        <v>831229539</v>
      </c>
      <c r="Q16" s="350">
        <f t="shared" si="8"/>
        <v>0.19567031766885246</v>
      </c>
      <c r="R16" s="350">
        <v>0.19812094166802005</v>
      </c>
    </row>
    <row r="17" spans="1:18" s="243" customFormat="1" x14ac:dyDescent="0.3">
      <c r="A17" s="148" t="s">
        <v>179</v>
      </c>
      <c r="B17" s="257">
        <v>18890113</v>
      </c>
      <c r="C17" s="350">
        <f t="shared" si="0"/>
        <v>1.619899079364636E-2</v>
      </c>
      <c r="D17" s="257">
        <v>1101849</v>
      </c>
      <c r="E17" s="350">
        <f t="shared" si="1"/>
        <v>6.7391988651346393E-3</v>
      </c>
      <c r="F17" s="257">
        <v>26274491</v>
      </c>
      <c r="G17" s="350">
        <f t="shared" si="2"/>
        <v>1.7235187359283078E-2</v>
      </c>
      <c r="H17" s="257">
        <v>19477157</v>
      </c>
      <c r="I17" s="350">
        <f t="shared" si="3"/>
        <v>1.8133917169814572E-2</v>
      </c>
      <c r="J17" s="257">
        <v>5220458</v>
      </c>
      <c r="K17" s="350">
        <f t="shared" si="4"/>
        <v>1.787458690386258E-2</v>
      </c>
      <c r="L17" s="257">
        <v>304154</v>
      </c>
      <c r="M17" s="350">
        <f t="shared" si="5"/>
        <v>2.0566139876581794E-2</v>
      </c>
      <c r="N17" s="257">
        <v>413</v>
      </c>
      <c r="O17" s="350">
        <f t="shared" si="6"/>
        <v>3.15403184166974E-5</v>
      </c>
      <c r="P17" s="257">
        <f t="shared" si="7"/>
        <v>71268635</v>
      </c>
      <c r="Q17" s="350">
        <f t="shared" si="8"/>
        <v>1.6776541010623897E-2</v>
      </c>
      <c r="R17" s="350">
        <v>1.5788235886479103E-2</v>
      </c>
    </row>
    <row r="18" spans="1:18" s="101" customFormat="1" x14ac:dyDescent="0.3">
      <c r="A18" s="148" t="s">
        <v>180</v>
      </c>
      <c r="B18" s="271">
        <v>0</v>
      </c>
      <c r="C18" s="350">
        <f t="shared" si="0"/>
        <v>0</v>
      </c>
      <c r="D18" s="271">
        <v>0</v>
      </c>
      <c r="E18" s="350">
        <f t="shared" si="1"/>
        <v>0</v>
      </c>
      <c r="F18" s="271">
        <v>0</v>
      </c>
      <c r="G18" s="350">
        <f t="shared" si="2"/>
        <v>0</v>
      </c>
      <c r="H18" s="271">
        <v>0</v>
      </c>
      <c r="I18" s="350">
        <f t="shared" si="3"/>
        <v>0</v>
      </c>
      <c r="J18" s="271">
        <v>0</v>
      </c>
      <c r="K18" s="350">
        <f t="shared" si="4"/>
        <v>0</v>
      </c>
      <c r="L18" s="271">
        <v>0</v>
      </c>
      <c r="M18" s="350">
        <f t="shared" si="5"/>
        <v>0</v>
      </c>
      <c r="N18" s="271">
        <v>0</v>
      </c>
      <c r="O18" s="350">
        <f t="shared" si="6"/>
        <v>0</v>
      </c>
      <c r="P18" s="271">
        <f t="shared" si="7"/>
        <v>0</v>
      </c>
      <c r="Q18" s="350">
        <f t="shared" si="8"/>
        <v>0</v>
      </c>
      <c r="R18" s="350">
        <v>2.8523336956969971E-7</v>
      </c>
    </row>
    <row r="19" spans="1:18" s="101" customFormat="1" x14ac:dyDescent="0.3">
      <c r="A19" s="148" t="s">
        <v>181</v>
      </c>
      <c r="B19" s="271">
        <v>0</v>
      </c>
      <c r="C19" s="350">
        <f t="shared" si="0"/>
        <v>0</v>
      </c>
      <c r="D19" s="271">
        <v>0</v>
      </c>
      <c r="E19" s="350">
        <f t="shared" si="1"/>
        <v>0</v>
      </c>
      <c r="F19" s="271">
        <v>0</v>
      </c>
      <c r="G19" s="350">
        <f t="shared" si="2"/>
        <v>0</v>
      </c>
      <c r="H19" s="271">
        <v>0</v>
      </c>
      <c r="I19" s="350">
        <f t="shared" si="3"/>
        <v>0</v>
      </c>
      <c r="J19" s="271">
        <v>0</v>
      </c>
      <c r="K19" s="350">
        <f t="shared" si="4"/>
        <v>0</v>
      </c>
      <c r="L19" s="271">
        <v>0</v>
      </c>
      <c r="M19" s="350">
        <f t="shared" si="5"/>
        <v>0</v>
      </c>
      <c r="N19" s="271">
        <v>0</v>
      </c>
      <c r="O19" s="350">
        <f t="shared" si="6"/>
        <v>0</v>
      </c>
      <c r="P19" s="271">
        <f t="shared" si="7"/>
        <v>0</v>
      </c>
      <c r="Q19" s="350">
        <f t="shared" si="8"/>
        <v>0</v>
      </c>
      <c r="R19" s="350">
        <v>0</v>
      </c>
    </row>
    <row r="20" spans="1:18" s="243" customFormat="1" x14ac:dyDescent="0.3">
      <c r="A20" s="148" t="s">
        <v>182</v>
      </c>
      <c r="B20" s="257">
        <v>0</v>
      </c>
      <c r="C20" s="350">
        <f t="shared" si="0"/>
        <v>0</v>
      </c>
      <c r="D20" s="257">
        <v>0</v>
      </c>
      <c r="E20" s="350">
        <f t="shared" si="1"/>
        <v>0</v>
      </c>
      <c r="F20" s="257">
        <v>945669</v>
      </c>
      <c r="G20" s="350">
        <f t="shared" si="2"/>
        <v>6.2032723659102926E-4</v>
      </c>
      <c r="H20" s="257">
        <v>552</v>
      </c>
      <c r="I20" s="350">
        <f t="shared" si="3"/>
        <v>5.139313852497899E-7</v>
      </c>
      <c r="J20" s="257">
        <v>0</v>
      </c>
      <c r="K20" s="350">
        <f t="shared" si="4"/>
        <v>0</v>
      </c>
      <c r="L20" s="257">
        <v>0</v>
      </c>
      <c r="M20" s="350">
        <f t="shared" si="5"/>
        <v>0</v>
      </c>
      <c r="N20" s="257">
        <v>0</v>
      </c>
      <c r="O20" s="350">
        <f t="shared" si="6"/>
        <v>0</v>
      </c>
      <c r="P20" s="257">
        <f t="shared" si="7"/>
        <v>946221</v>
      </c>
      <c r="Q20" s="350">
        <f t="shared" si="8"/>
        <v>2.2273915322797407E-4</v>
      </c>
      <c r="R20" s="350">
        <v>4.7554096975034664E-4</v>
      </c>
    </row>
    <row r="21" spans="1:18" s="243" customFormat="1" x14ac:dyDescent="0.3">
      <c r="A21" s="148" t="s">
        <v>183</v>
      </c>
      <c r="B21" s="257">
        <v>3558160</v>
      </c>
      <c r="C21" s="350">
        <f t="shared" si="0"/>
        <v>3.0512576119751497E-3</v>
      </c>
      <c r="D21" s="257">
        <v>5995</v>
      </c>
      <c r="E21" s="350">
        <f t="shared" si="1"/>
        <v>3.6666999921479409E-5</v>
      </c>
      <c r="F21" s="257">
        <v>534975</v>
      </c>
      <c r="G21" s="350">
        <f t="shared" si="2"/>
        <v>3.5092570803873862E-4</v>
      </c>
      <c r="H21" s="257">
        <v>78696</v>
      </c>
      <c r="I21" s="350">
        <f t="shared" si="3"/>
        <v>7.3268739662350483E-5</v>
      </c>
      <c r="J21" s="257">
        <v>30832</v>
      </c>
      <c r="K21" s="350">
        <f t="shared" si="4"/>
        <v>1.0556722483350907E-4</v>
      </c>
      <c r="L21" s="257">
        <v>52780</v>
      </c>
      <c r="M21" s="350">
        <f t="shared" si="5"/>
        <v>3.5688528268113754E-3</v>
      </c>
      <c r="N21" s="257">
        <v>0</v>
      </c>
      <c r="O21" s="350">
        <f t="shared" si="6"/>
        <v>0</v>
      </c>
      <c r="P21" s="257">
        <f t="shared" si="7"/>
        <v>4261438</v>
      </c>
      <c r="Q21" s="350">
        <f t="shared" si="8"/>
        <v>1.0031367848034563E-3</v>
      </c>
      <c r="R21" s="350">
        <v>9.8572768499454832E-4</v>
      </c>
    </row>
    <row r="22" spans="1:18" s="243" customFormat="1" x14ac:dyDescent="0.3">
      <c r="A22" s="148" t="s">
        <v>184</v>
      </c>
      <c r="B22" s="257">
        <v>494871</v>
      </c>
      <c r="C22" s="350">
        <f t="shared" si="0"/>
        <v>4.2437071567769699E-4</v>
      </c>
      <c r="D22" s="257">
        <v>0</v>
      </c>
      <c r="E22" s="350">
        <f t="shared" si="1"/>
        <v>0</v>
      </c>
      <c r="F22" s="257">
        <v>158077</v>
      </c>
      <c r="G22" s="350">
        <f t="shared" si="2"/>
        <v>1.0369322519676561E-4</v>
      </c>
      <c r="H22" s="257">
        <v>210516</v>
      </c>
      <c r="I22" s="350">
        <f t="shared" si="3"/>
        <v>1.9599778894428401E-4</v>
      </c>
      <c r="J22" s="257">
        <v>45987</v>
      </c>
      <c r="K22" s="350">
        <f t="shared" si="4"/>
        <v>1.5745718631352429E-4</v>
      </c>
      <c r="L22" s="257">
        <v>48517</v>
      </c>
      <c r="M22" s="350">
        <f t="shared" si="5"/>
        <v>3.2805993292612259E-3</v>
      </c>
      <c r="N22" s="257">
        <v>0</v>
      </c>
      <c r="O22" s="350">
        <f t="shared" si="6"/>
        <v>0</v>
      </c>
      <c r="P22" s="257">
        <f t="shared" si="7"/>
        <v>957968</v>
      </c>
      <c r="Q22" s="350">
        <f t="shared" si="8"/>
        <v>2.2550438125923633E-4</v>
      </c>
      <c r="R22" s="350">
        <v>2.0467794238385387E-4</v>
      </c>
    </row>
    <row r="23" spans="1:18" s="243" customFormat="1" x14ac:dyDescent="0.3">
      <c r="A23" s="148" t="s">
        <v>185</v>
      </c>
      <c r="B23" s="257">
        <v>746587</v>
      </c>
      <c r="C23" s="350">
        <f t="shared" si="0"/>
        <v>6.4022676516842724E-4</v>
      </c>
      <c r="D23" s="257">
        <v>20911</v>
      </c>
      <c r="E23" s="350">
        <f t="shared" si="1"/>
        <v>1.2789718688207771E-4</v>
      </c>
      <c r="F23" s="257">
        <v>33707718</v>
      </c>
      <c r="G23" s="350">
        <f t="shared" si="2"/>
        <v>2.2111135670863376E-2</v>
      </c>
      <c r="H23" s="257">
        <v>43180972</v>
      </c>
      <c r="I23" s="350">
        <f t="shared" si="3"/>
        <v>4.0203001370276076E-2</v>
      </c>
      <c r="J23" s="257">
        <v>7915329</v>
      </c>
      <c r="K23" s="350">
        <f t="shared" si="4"/>
        <v>2.7101690327393436E-2</v>
      </c>
      <c r="L23" s="257">
        <v>487</v>
      </c>
      <c r="M23" s="350">
        <f t="shared" si="5"/>
        <v>3.2929733358414925E-5</v>
      </c>
      <c r="N23" s="257">
        <v>3022</v>
      </c>
      <c r="O23" s="350">
        <f t="shared" si="6"/>
        <v>2.3078654299094319E-4</v>
      </c>
      <c r="P23" s="257">
        <f t="shared" si="7"/>
        <v>85575026</v>
      </c>
      <c r="Q23" s="350">
        <f t="shared" si="8"/>
        <v>2.0144246247654474E-2</v>
      </c>
      <c r="R23" s="350">
        <v>2.1279653122586055E-2</v>
      </c>
    </row>
    <row r="24" spans="1:18" s="243" customFormat="1" x14ac:dyDescent="0.3">
      <c r="A24" s="148" t="s">
        <v>186</v>
      </c>
      <c r="B24" s="257">
        <v>49439294</v>
      </c>
      <c r="C24" s="350">
        <f t="shared" si="0"/>
        <v>4.2396076103429117E-2</v>
      </c>
      <c r="D24" s="257">
        <v>7236323</v>
      </c>
      <c r="E24" s="350">
        <f t="shared" si="1"/>
        <v>4.4259258527572919E-2</v>
      </c>
      <c r="F24" s="257">
        <v>15647118</v>
      </c>
      <c r="G24" s="350">
        <f t="shared" si="2"/>
        <v>1.026398609825822E-2</v>
      </c>
      <c r="H24" s="257">
        <v>7706484</v>
      </c>
      <c r="I24" s="350">
        <f t="shared" si="3"/>
        <v>7.1750072418937357E-3</v>
      </c>
      <c r="J24" s="257">
        <v>2576088</v>
      </c>
      <c r="K24" s="350">
        <f t="shared" si="4"/>
        <v>8.8203963767159027E-3</v>
      </c>
      <c r="L24" s="257">
        <v>80893</v>
      </c>
      <c r="M24" s="350">
        <f t="shared" si="5"/>
        <v>5.4697842311340009E-3</v>
      </c>
      <c r="N24" s="257">
        <v>236598</v>
      </c>
      <c r="O24" s="350">
        <f t="shared" si="6"/>
        <v>1.8068707643471602E-2</v>
      </c>
      <c r="P24" s="257">
        <f t="shared" si="7"/>
        <v>82922798</v>
      </c>
      <c r="Q24" s="350">
        <f t="shared" si="8"/>
        <v>1.9519915336707112E-2</v>
      </c>
      <c r="R24" s="350">
        <v>1.9306405674919841E-2</v>
      </c>
    </row>
    <row r="25" spans="1:18" s="243" customFormat="1" x14ac:dyDescent="0.3">
      <c r="A25" s="148" t="s">
        <v>170</v>
      </c>
      <c r="B25" s="257">
        <v>0</v>
      </c>
      <c r="C25" s="350">
        <f t="shared" si="0"/>
        <v>0</v>
      </c>
      <c r="D25" s="257">
        <v>0</v>
      </c>
      <c r="E25" s="350">
        <f t="shared" si="1"/>
        <v>0</v>
      </c>
      <c r="F25" s="257">
        <v>0</v>
      </c>
      <c r="G25" s="350">
        <f t="shared" si="2"/>
        <v>0</v>
      </c>
      <c r="H25" s="257">
        <v>0</v>
      </c>
      <c r="I25" s="350">
        <f t="shared" si="3"/>
        <v>0</v>
      </c>
      <c r="J25" s="257">
        <v>0</v>
      </c>
      <c r="K25" s="350">
        <f t="shared" si="4"/>
        <v>0</v>
      </c>
      <c r="L25" s="257">
        <v>0</v>
      </c>
      <c r="M25" s="350">
        <f t="shared" si="5"/>
        <v>0</v>
      </c>
      <c r="N25" s="257">
        <v>0</v>
      </c>
      <c r="O25" s="350">
        <f t="shared" si="6"/>
        <v>0</v>
      </c>
      <c r="P25" s="257">
        <f t="shared" si="7"/>
        <v>0</v>
      </c>
      <c r="Q25" s="350">
        <f t="shared" si="8"/>
        <v>0</v>
      </c>
      <c r="R25" s="350">
        <v>6.3876864429207739E-7</v>
      </c>
    </row>
    <row r="26" spans="1:18" s="243" customFormat="1" x14ac:dyDescent="0.3">
      <c r="A26" s="148" t="s">
        <v>187</v>
      </c>
      <c r="B26" s="257">
        <v>216035</v>
      </c>
      <c r="C26" s="350">
        <f t="shared" si="0"/>
        <v>1.8525823408813868E-4</v>
      </c>
      <c r="D26" s="257">
        <v>2629</v>
      </c>
      <c r="E26" s="350">
        <f t="shared" si="1"/>
        <v>1.6079656846300146E-5</v>
      </c>
      <c r="F26" s="257">
        <v>49124529</v>
      </c>
      <c r="G26" s="350">
        <f t="shared" si="2"/>
        <v>3.2224048079619698E-2</v>
      </c>
      <c r="H26" s="257">
        <v>39152311</v>
      </c>
      <c r="I26" s="350">
        <f t="shared" si="3"/>
        <v>3.6452176499928601E-2</v>
      </c>
      <c r="J26" s="257">
        <v>14923768</v>
      </c>
      <c r="K26" s="350">
        <f t="shared" si="4"/>
        <v>5.1098234685363515E-2</v>
      </c>
      <c r="L26" s="257">
        <v>1465</v>
      </c>
      <c r="M26" s="350">
        <f t="shared" si="5"/>
        <v>9.9059670164430936E-5</v>
      </c>
      <c r="N26" s="257">
        <v>0</v>
      </c>
      <c r="O26" s="350">
        <f t="shared" si="6"/>
        <v>0</v>
      </c>
      <c r="P26" s="257">
        <f t="shared" si="7"/>
        <v>103420737</v>
      </c>
      <c r="Q26" s="350">
        <f t="shared" si="8"/>
        <v>2.4345102661632968E-2</v>
      </c>
      <c r="R26" s="350">
        <v>2.1948312136993251E-2</v>
      </c>
    </row>
    <row r="27" spans="1:18" s="243" customFormat="1" x14ac:dyDescent="0.3">
      <c r="A27" s="148" t="s">
        <v>188</v>
      </c>
      <c r="B27" s="261">
        <v>30608122</v>
      </c>
      <c r="C27" s="351">
        <f t="shared" si="0"/>
        <v>2.6247629460385155E-2</v>
      </c>
      <c r="D27" s="261">
        <v>6359081</v>
      </c>
      <c r="E27" s="351">
        <f t="shared" si="1"/>
        <v>3.8893815267336311E-2</v>
      </c>
      <c r="F27" s="261">
        <v>34367201</v>
      </c>
      <c r="G27" s="351">
        <f t="shared" si="2"/>
        <v>2.2543734462796665E-2</v>
      </c>
      <c r="H27" s="261">
        <v>19811369</v>
      </c>
      <c r="I27" s="351">
        <f t="shared" si="3"/>
        <v>1.8445080278740481E-2</v>
      </c>
      <c r="J27" s="261">
        <v>7376565</v>
      </c>
      <c r="K27" s="351">
        <f t="shared" si="4"/>
        <v>2.5256989356966585E-2</v>
      </c>
      <c r="L27" s="261">
        <v>64912</v>
      </c>
      <c r="M27" s="351">
        <f t="shared" si="5"/>
        <v>4.3891886073129972E-3</v>
      </c>
      <c r="N27" s="261">
        <v>11585423</v>
      </c>
      <c r="O27" s="351">
        <f t="shared" si="6"/>
        <v>0.88476496467827992</v>
      </c>
      <c r="P27" s="261">
        <f t="shared" si="7"/>
        <v>110172673</v>
      </c>
      <c r="Q27" s="351">
        <f t="shared" si="8"/>
        <v>2.5934499332484148E-2</v>
      </c>
      <c r="R27" s="351">
        <v>2.4044606206583573E-2</v>
      </c>
    </row>
    <row r="28" spans="1:18" s="243" customFormat="1" x14ac:dyDescent="0.3">
      <c r="A28" s="146" t="s">
        <v>0</v>
      </c>
      <c r="B28" s="246">
        <f>SUM(B7:B27)</f>
        <v>1050102893</v>
      </c>
      <c r="C28" s="352">
        <f t="shared" si="0"/>
        <v>0.90050319424179248</v>
      </c>
      <c r="D28" s="246">
        <f t="shared" ref="D28:N28" si="9">SUM(D7:D27)</f>
        <v>153461508</v>
      </c>
      <c r="E28" s="352">
        <f t="shared" si="1"/>
        <v>0.93861102615281267</v>
      </c>
      <c r="F28" s="246">
        <f t="shared" si="9"/>
        <v>1129051147</v>
      </c>
      <c r="G28" s="352">
        <f t="shared" si="2"/>
        <v>0.74061979190228511</v>
      </c>
      <c r="H28" s="246">
        <f t="shared" si="9"/>
        <v>932049761</v>
      </c>
      <c r="I28" s="352">
        <f t="shared" si="3"/>
        <v>0.86777105940664068</v>
      </c>
      <c r="J28" s="246">
        <f t="shared" si="9"/>
        <v>237039404</v>
      </c>
      <c r="K28" s="352">
        <f t="shared" si="4"/>
        <v>0.81161105528246591</v>
      </c>
      <c r="L28" s="246">
        <f t="shared" si="9"/>
        <v>14516204</v>
      </c>
      <c r="M28" s="352">
        <f t="shared" si="5"/>
        <v>0.98154974763112157</v>
      </c>
      <c r="N28" s="246">
        <f t="shared" si="9"/>
        <v>12819368</v>
      </c>
      <c r="O28" s="352">
        <f t="shared" si="6"/>
        <v>0.97899987559520896</v>
      </c>
      <c r="P28" s="246">
        <f>SUM(P7:P27)</f>
        <v>3529040285</v>
      </c>
      <c r="Q28" s="352">
        <f t="shared" si="8"/>
        <v>0.83073134583602382</v>
      </c>
      <c r="R28" s="352">
        <v>0.82354493708752874</v>
      </c>
    </row>
    <row r="29" spans="1:18" s="243" customFormat="1" x14ac:dyDescent="0.3">
      <c r="A29" s="146"/>
      <c r="B29" s="257"/>
      <c r="C29" s="352"/>
      <c r="D29" s="257"/>
      <c r="E29" s="352"/>
      <c r="F29" s="257"/>
      <c r="G29" s="352"/>
      <c r="H29" s="257"/>
      <c r="I29" s="352"/>
      <c r="J29" s="257"/>
      <c r="K29" s="352"/>
      <c r="L29" s="257"/>
      <c r="M29" s="352"/>
      <c r="N29" s="257"/>
      <c r="O29" s="352"/>
      <c r="P29" s="257"/>
      <c r="Q29" s="352"/>
      <c r="R29" s="352"/>
    </row>
    <row r="30" spans="1:18" s="243" customFormat="1" x14ac:dyDescent="0.3">
      <c r="A30" s="30" t="s">
        <v>148</v>
      </c>
      <c r="B30" s="257"/>
      <c r="C30" s="350"/>
      <c r="D30" s="257"/>
      <c r="E30" s="350"/>
      <c r="F30" s="257"/>
      <c r="G30" s="350"/>
      <c r="H30" s="257"/>
      <c r="I30" s="350"/>
      <c r="J30" s="257"/>
      <c r="K30" s="350"/>
      <c r="L30" s="257"/>
      <c r="M30" s="350"/>
      <c r="N30" s="257"/>
      <c r="O30" s="350"/>
      <c r="P30" s="257"/>
      <c r="Q30" s="350"/>
      <c r="R30" s="350"/>
    </row>
    <row r="31" spans="1:18" s="243" customFormat="1" x14ac:dyDescent="0.3">
      <c r="A31" s="147" t="s">
        <v>149</v>
      </c>
      <c r="B31" s="271">
        <v>9130</v>
      </c>
      <c r="C31" s="350">
        <f t="shared" si="0"/>
        <v>7.829322458049419E-6</v>
      </c>
      <c r="D31" s="271">
        <v>844</v>
      </c>
      <c r="E31" s="350">
        <f t="shared" si="1"/>
        <v>5.1621264276444738E-6</v>
      </c>
      <c r="F31" s="271">
        <v>0</v>
      </c>
      <c r="G31" s="350">
        <f t="shared" si="2"/>
        <v>0</v>
      </c>
      <c r="H31" s="271">
        <v>0</v>
      </c>
      <c r="I31" s="350">
        <f t="shared" si="3"/>
        <v>0</v>
      </c>
      <c r="J31" s="271">
        <v>0</v>
      </c>
      <c r="K31" s="350">
        <f t="shared" si="4"/>
        <v>0</v>
      </c>
      <c r="L31" s="271">
        <v>0</v>
      </c>
      <c r="M31" s="350">
        <f t="shared" si="5"/>
        <v>0</v>
      </c>
      <c r="N31" s="271">
        <v>0</v>
      </c>
      <c r="O31" s="350">
        <f t="shared" si="6"/>
        <v>0</v>
      </c>
      <c r="P31" s="271">
        <f t="shared" ref="P31:P33" si="10">SUM(B31,D31,F31,H31,J31,L31,N31)</f>
        <v>9974</v>
      </c>
      <c r="Q31" s="350">
        <f t="shared" si="8"/>
        <v>2.3478662112717993E-6</v>
      </c>
      <c r="R31" s="350">
        <v>1.365187224589481E-6</v>
      </c>
    </row>
    <row r="32" spans="1:18" s="243" customFormat="1" x14ac:dyDescent="0.3">
      <c r="A32" s="147" t="s">
        <v>150</v>
      </c>
      <c r="B32" s="257">
        <v>3483344</v>
      </c>
      <c r="C32" s="350">
        <f t="shared" si="0"/>
        <v>2.9871000447219817E-3</v>
      </c>
      <c r="D32" s="257">
        <v>217750</v>
      </c>
      <c r="E32" s="350">
        <f t="shared" si="1"/>
        <v>1.3318163858051946E-3</v>
      </c>
      <c r="F32" s="271">
        <v>63248</v>
      </c>
      <c r="G32" s="350">
        <f t="shared" si="2"/>
        <v>4.1488572703461172E-5</v>
      </c>
      <c r="H32" s="257">
        <v>11658</v>
      </c>
      <c r="I32" s="350">
        <f t="shared" si="3"/>
        <v>1.0854007408047195E-5</v>
      </c>
      <c r="J32" s="257">
        <v>2010</v>
      </c>
      <c r="K32" s="350">
        <f t="shared" si="4"/>
        <v>6.8821393978773095E-6</v>
      </c>
      <c r="L32" s="257">
        <v>10050</v>
      </c>
      <c r="M32" s="350">
        <f t="shared" si="5"/>
        <v>6.795560990802259E-4</v>
      </c>
      <c r="N32" s="257">
        <v>274983</v>
      </c>
      <c r="O32" s="350">
        <f t="shared" si="6"/>
        <v>2.1000124404791043E-2</v>
      </c>
      <c r="P32" s="257">
        <f t="shared" si="10"/>
        <v>4063043</v>
      </c>
      <c r="Q32" s="350">
        <f t="shared" si="8"/>
        <v>9.5643486812155667E-4</v>
      </c>
      <c r="R32" s="350">
        <v>7.099589036620985E-4</v>
      </c>
    </row>
    <row r="33" spans="1:18" s="243" customFormat="1" x14ac:dyDescent="0.3">
      <c r="A33" s="148" t="s">
        <v>167</v>
      </c>
      <c r="B33" s="261">
        <v>112533637</v>
      </c>
      <c r="C33" s="351">
        <f t="shared" si="0"/>
        <v>9.6501876391027488E-2</v>
      </c>
      <c r="D33" s="261">
        <v>9818412</v>
      </c>
      <c r="E33" s="351">
        <f t="shared" si="1"/>
        <v>6.005199533495454E-2</v>
      </c>
      <c r="F33" s="261">
        <v>395353570</v>
      </c>
      <c r="G33" s="351">
        <f t="shared" si="2"/>
        <v>0.25933871952501147</v>
      </c>
      <c r="H33" s="261">
        <v>142011922</v>
      </c>
      <c r="I33" s="351">
        <f t="shared" si="3"/>
        <v>0.1322180865859513</v>
      </c>
      <c r="J33" s="261">
        <v>55018930</v>
      </c>
      <c r="K33" s="351">
        <f t="shared" si="4"/>
        <v>0.18838206257813625</v>
      </c>
      <c r="L33" s="261">
        <v>262812</v>
      </c>
      <c r="M33" s="351">
        <f t="shared" si="5"/>
        <v>1.7770696269798242E-2</v>
      </c>
      <c r="N33" s="261">
        <v>0</v>
      </c>
      <c r="O33" s="351">
        <f t="shared" si="6"/>
        <v>0</v>
      </c>
      <c r="P33" s="261">
        <f t="shared" si="10"/>
        <v>714999283</v>
      </c>
      <c r="Q33" s="351">
        <f t="shared" si="8"/>
        <v>0.16830987142964338</v>
      </c>
      <c r="R33" s="351">
        <v>0.17574373882158453</v>
      </c>
    </row>
    <row r="34" spans="1:18" s="243" customFormat="1" x14ac:dyDescent="0.3">
      <c r="A34" s="30" t="s">
        <v>151</v>
      </c>
      <c r="B34" s="246">
        <f>SUM(B31:B33)</f>
        <v>116026111</v>
      </c>
      <c r="C34" s="352">
        <f t="shared" si="0"/>
        <v>9.9496805758207518E-2</v>
      </c>
      <c r="D34" s="246">
        <f t="shared" ref="D34:N34" si="11">SUM(D31:D33)</f>
        <v>10037006</v>
      </c>
      <c r="E34" s="352">
        <f t="shared" si="1"/>
        <v>6.1388973847187382E-2</v>
      </c>
      <c r="F34" s="246">
        <f t="shared" si="11"/>
        <v>395416818</v>
      </c>
      <c r="G34" s="352">
        <f t="shared" si="2"/>
        <v>0.25938020809771495</v>
      </c>
      <c r="H34" s="246">
        <f t="shared" si="11"/>
        <v>142023580</v>
      </c>
      <c r="I34" s="352">
        <f t="shared" si="3"/>
        <v>0.13222894059335935</v>
      </c>
      <c r="J34" s="246">
        <f t="shared" si="11"/>
        <v>55020940</v>
      </c>
      <c r="K34" s="352">
        <f t="shared" si="4"/>
        <v>0.18838894471753412</v>
      </c>
      <c r="L34" s="246">
        <f t="shared" si="11"/>
        <v>272862</v>
      </c>
      <c r="M34" s="352">
        <f t="shared" si="5"/>
        <v>1.8450252368878466E-2</v>
      </c>
      <c r="N34" s="246">
        <f t="shared" si="11"/>
        <v>274983</v>
      </c>
      <c r="O34" s="352">
        <f t="shared" si="6"/>
        <v>2.1000124404791043E-2</v>
      </c>
      <c r="P34" s="246">
        <f>SUM(P31:P33)</f>
        <v>719072300</v>
      </c>
      <c r="Q34" s="352">
        <f t="shared" si="8"/>
        <v>0.16926865416397621</v>
      </c>
      <c r="R34" s="352">
        <v>0.17645506291247121</v>
      </c>
    </row>
    <row r="35" spans="1:18" s="243" customFormat="1" x14ac:dyDescent="0.3">
      <c r="A35" s="149"/>
      <c r="B35" s="257"/>
      <c r="C35" s="350"/>
      <c r="D35" s="257"/>
      <c r="E35" s="350"/>
      <c r="F35" s="257"/>
      <c r="G35" s="350"/>
      <c r="H35" s="257"/>
      <c r="I35" s="350"/>
      <c r="J35" s="257"/>
      <c r="K35" s="350"/>
      <c r="L35" s="257"/>
      <c r="M35" s="350"/>
      <c r="N35" s="257"/>
      <c r="O35" s="350"/>
      <c r="P35" s="257"/>
      <c r="Q35" s="350"/>
      <c r="R35" s="350"/>
    </row>
    <row r="36" spans="1:18" s="73" customFormat="1" x14ac:dyDescent="0.3">
      <c r="A36" s="150" t="s">
        <v>152</v>
      </c>
      <c r="B36" s="246">
        <f>B28+B34</f>
        <v>1166129004</v>
      </c>
      <c r="C36" s="353">
        <f t="shared" si="0"/>
        <v>1</v>
      </c>
      <c r="D36" s="246">
        <f t="shared" ref="D36:N36" si="12">D28+D34</f>
        <v>163498514</v>
      </c>
      <c r="E36" s="353">
        <f t="shared" si="1"/>
        <v>1</v>
      </c>
      <c r="F36" s="246">
        <f t="shared" si="12"/>
        <v>1524467965</v>
      </c>
      <c r="G36" s="353">
        <f t="shared" si="2"/>
        <v>1</v>
      </c>
      <c r="H36" s="246">
        <f t="shared" si="12"/>
        <v>1074073341</v>
      </c>
      <c r="I36" s="353">
        <f t="shared" si="3"/>
        <v>1</v>
      </c>
      <c r="J36" s="246">
        <f t="shared" si="12"/>
        <v>292060344</v>
      </c>
      <c r="K36" s="353">
        <f t="shared" si="4"/>
        <v>1</v>
      </c>
      <c r="L36" s="246">
        <f t="shared" si="12"/>
        <v>14789066</v>
      </c>
      <c r="M36" s="353">
        <f t="shared" si="5"/>
        <v>1</v>
      </c>
      <c r="N36" s="246">
        <f t="shared" si="12"/>
        <v>13094351</v>
      </c>
      <c r="O36" s="353">
        <f t="shared" si="6"/>
        <v>1</v>
      </c>
      <c r="P36" s="246">
        <f>P28+P34</f>
        <v>4248112585</v>
      </c>
      <c r="Q36" s="353">
        <f t="shared" si="8"/>
        <v>1</v>
      </c>
      <c r="R36" s="353">
        <v>1</v>
      </c>
    </row>
    <row r="37" spans="1:18" s="243" customFormat="1" x14ac:dyDescent="0.3">
      <c r="A37" s="150"/>
      <c r="B37" s="244"/>
      <c r="C37" s="244"/>
      <c r="D37" s="244"/>
      <c r="E37" s="244"/>
      <c r="F37" s="244"/>
      <c r="G37" s="244"/>
      <c r="H37" s="244"/>
      <c r="I37" s="354"/>
      <c r="J37" s="244"/>
      <c r="K37" s="244"/>
      <c r="L37" s="244"/>
      <c r="M37" s="244"/>
      <c r="N37" s="244"/>
      <c r="O37" s="244"/>
      <c r="P37" s="355"/>
    </row>
    <row r="38" spans="1:18" s="243" customFormat="1" x14ac:dyDescent="0.3">
      <c r="A38" s="150"/>
      <c r="B38" s="244"/>
      <c r="C38" s="244"/>
      <c r="D38" s="244"/>
      <c r="E38" s="244"/>
      <c r="F38" s="244"/>
      <c r="G38" s="244"/>
      <c r="H38" s="244"/>
      <c r="I38" s="354"/>
      <c r="J38" s="244"/>
      <c r="K38" s="244"/>
      <c r="L38" s="244"/>
      <c r="M38" s="244"/>
      <c r="N38" s="244"/>
      <c r="O38" s="244"/>
      <c r="P38" s="355"/>
    </row>
    <row r="39" spans="1:18" s="73" customFormat="1" x14ac:dyDescent="0.3">
      <c r="A39" s="150" t="s">
        <v>22</v>
      </c>
      <c r="B39" s="96">
        <v>383295</v>
      </c>
      <c r="C39" s="241"/>
      <c r="D39" s="96">
        <v>101286</v>
      </c>
      <c r="E39" s="241"/>
      <c r="F39" s="96">
        <v>928506</v>
      </c>
      <c r="G39" s="241"/>
      <c r="H39" s="96">
        <v>806684</v>
      </c>
      <c r="I39" s="354"/>
      <c r="J39" s="96">
        <v>311916</v>
      </c>
      <c r="K39" s="241"/>
      <c r="L39" s="96">
        <v>1139</v>
      </c>
      <c r="M39" s="241"/>
      <c r="N39" s="96">
        <v>61660</v>
      </c>
      <c r="O39" s="241"/>
      <c r="P39" s="422">
        <v>1841856</v>
      </c>
    </row>
    <row r="40" spans="1:18" s="243" customFormat="1" x14ac:dyDescent="0.3">
      <c r="A40" s="30" t="s">
        <v>381</v>
      </c>
      <c r="B40" s="246">
        <f>B36/B39</f>
        <v>3042.3799005987557</v>
      </c>
      <c r="C40" s="246"/>
      <c r="D40" s="246">
        <f t="shared" ref="D40:L40" si="13">D36/D39</f>
        <v>1614.2261911814071</v>
      </c>
      <c r="E40" s="246"/>
      <c r="F40" s="246">
        <f t="shared" si="13"/>
        <v>1641.8504188448971</v>
      </c>
      <c r="G40" s="246"/>
      <c r="H40" s="246">
        <f t="shared" si="13"/>
        <v>1331.4672672322743</v>
      </c>
      <c r="I40" s="246"/>
      <c r="J40" s="246">
        <f t="shared" si="13"/>
        <v>936.34293848343782</v>
      </c>
      <c r="K40" s="246"/>
      <c r="L40" s="246">
        <f t="shared" si="13"/>
        <v>12984.254609306408</v>
      </c>
      <c r="M40" s="246"/>
      <c r="N40" s="246">
        <f t="shared" ref="N40" si="14">N36/N39</f>
        <v>212.36378527408368</v>
      </c>
      <c r="O40" s="246"/>
      <c r="P40" s="246">
        <f t="shared" ref="P40" si="15">P36/P39</f>
        <v>2306.430353404392</v>
      </c>
    </row>
    <row r="41" spans="1:18" s="243" customFormat="1" x14ac:dyDescent="0.3">
      <c r="A41" s="242"/>
      <c r="B41" s="244"/>
      <c r="C41" s="244"/>
      <c r="D41" s="244"/>
      <c r="E41" s="244"/>
      <c r="F41" s="244"/>
      <c r="G41" s="244"/>
      <c r="H41" s="244"/>
      <c r="I41" s="244"/>
      <c r="J41" s="244"/>
      <c r="K41" s="244"/>
      <c r="L41" s="244"/>
      <c r="M41" s="244"/>
      <c r="N41" s="244"/>
      <c r="O41" s="244"/>
    </row>
    <row r="42" spans="1:18" s="49" customFormat="1" ht="13.5" x14ac:dyDescent="0.3">
      <c r="A42" s="152" t="s">
        <v>190</v>
      </c>
      <c r="B42" s="131"/>
      <c r="C42" s="356"/>
      <c r="D42" s="153"/>
      <c r="E42" s="126"/>
      <c r="F42" s="126"/>
      <c r="G42" s="126"/>
      <c r="H42" s="127"/>
      <c r="I42" s="128"/>
      <c r="J42" s="129"/>
    </row>
    <row r="43" spans="1:18" s="118" customFormat="1" ht="12" customHeight="1" x14ac:dyDescent="0.3">
      <c r="A43" s="474" t="s">
        <v>162</v>
      </c>
      <c r="B43" s="475"/>
      <c r="C43" s="475"/>
      <c r="D43" s="475"/>
      <c r="E43" s="475"/>
      <c r="F43" s="475"/>
      <c r="G43" s="475"/>
      <c r="H43" s="475"/>
      <c r="I43" s="475"/>
      <c r="J43" s="475"/>
      <c r="K43" s="475"/>
      <c r="L43" s="475"/>
      <c r="M43" s="475"/>
      <c r="N43" s="117"/>
      <c r="O43" s="117"/>
      <c r="P43" s="117"/>
    </row>
    <row r="44" spans="1:18" s="118" customFormat="1" ht="12" customHeight="1" x14ac:dyDescent="0.3">
      <c r="A44" s="158" t="s">
        <v>383</v>
      </c>
      <c r="B44" s="225"/>
      <c r="C44" s="225"/>
      <c r="D44" s="225"/>
      <c r="E44" s="225"/>
      <c r="F44" s="225"/>
      <c r="G44" s="225"/>
      <c r="H44" s="225"/>
      <c r="I44" s="225"/>
      <c r="J44" s="225"/>
      <c r="K44" s="225"/>
      <c r="L44" s="225"/>
      <c r="M44" s="225"/>
      <c r="N44" s="117"/>
      <c r="O44" s="117"/>
      <c r="P44" s="117"/>
    </row>
    <row r="45" spans="1:18" s="76" customFormat="1" ht="14.25" x14ac:dyDescent="0.3">
      <c r="A45" s="122"/>
      <c r="B45" s="357"/>
      <c r="E45" s="77"/>
    </row>
    <row r="46" spans="1:18" s="68" customFormat="1" ht="16.5" x14ac:dyDescent="0.3">
      <c r="A46" s="74"/>
      <c r="B46" s="69"/>
      <c r="C46" s="69"/>
      <c r="D46" s="69"/>
      <c r="E46" s="69"/>
      <c r="F46" s="69"/>
      <c r="G46" s="69"/>
      <c r="H46" s="69"/>
      <c r="I46" s="69"/>
      <c r="J46" s="69"/>
      <c r="K46" s="69"/>
      <c r="L46" s="69"/>
      <c r="M46" s="69"/>
      <c r="N46" s="69"/>
      <c r="O46" s="69"/>
    </row>
  </sheetData>
  <mergeCells count="5">
    <mergeCell ref="A1:R1"/>
    <mergeCell ref="A2:R2"/>
    <mergeCell ref="A3:R3"/>
    <mergeCell ref="A4:R4"/>
    <mergeCell ref="A43:M43"/>
  </mergeCells>
  <pageMargins left="0.7" right="0.7" top="0.75" bottom="0.75" header="0.3" footer="0.3"/>
  <ignoredErrors>
    <ignoredError sqref="C28:H30 I28:P28 C36:H36 D35:H35 C34:H34 C33 E33 G33 C31:C32 E31:E32 G31:G32"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8"/>
  <sheetViews>
    <sheetView showGridLines="0" workbookViewId="0">
      <pane ySplit="6" topLeftCell="A7" activePane="bottomLeft" state="frozen"/>
      <selection pane="bottomLeft" activeCell="A7" sqref="A7"/>
    </sheetView>
  </sheetViews>
  <sheetFormatPr defaultRowHeight="15" x14ac:dyDescent="0.25"/>
  <cols>
    <col min="1" max="1" width="45.42578125" bestFit="1" customWidth="1"/>
    <col min="2" max="2" width="19.7109375" style="15" customWidth="1"/>
    <col min="3" max="3" width="19" style="15" customWidth="1"/>
    <col min="4" max="4" width="18.28515625" style="15" customWidth="1"/>
    <col min="5" max="5" width="14.28515625" style="15" bestFit="1" customWidth="1"/>
    <col min="6" max="6" width="11.5703125" style="15" bestFit="1" customWidth="1"/>
    <col min="7" max="18" width="9.140625" style="15"/>
  </cols>
  <sheetData>
    <row r="1" spans="1:18" s="138" customFormat="1" ht="18" x14ac:dyDescent="0.35">
      <c r="A1" s="480" t="s">
        <v>200</v>
      </c>
      <c r="B1" s="480"/>
      <c r="C1" s="480"/>
      <c r="D1" s="480"/>
      <c r="E1" s="358"/>
      <c r="F1" s="358"/>
      <c r="G1" s="358"/>
      <c r="H1" s="358"/>
      <c r="I1" s="358"/>
      <c r="J1" s="358"/>
      <c r="K1" s="358"/>
      <c r="L1" s="358"/>
      <c r="M1" s="358"/>
      <c r="N1" s="358"/>
      <c r="O1" s="358"/>
      <c r="P1" s="358"/>
      <c r="Q1" s="358"/>
      <c r="R1" s="358"/>
    </row>
    <row r="2" spans="1:18" s="138" customFormat="1" ht="18" x14ac:dyDescent="0.35">
      <c r="A2" s="481" t="s">
        <v>2</v>
      </c>
      <c r="B2" s="481"/>
      <c r="C2" s="481"/>
      <c r="D2" s="481"/>
      <c r="E2" s="359"/>
      <c r="F2" s="359"/>
      <c r="G2" s="359"/>
      <c r="H2" s="359"/>
      <c r="I2" s="359"/>
      <c r="J2" s="359"/>
      <c r="K2" s="359"/>
      <c r="L2" s="359"/>
      <c r="M2" s="359"/>
      <c r="N2" s="359"/>
      <c r="O2" s="359"/>
      <c r="P2" s="359"/>
      <c r="Q2" s="359"/>
      <c r="R2" s="359"/>
    </row>
    <row r="3" spans="1:18" s="138" customFormat="1" ht="18" x14ac:dyDescent="0.35">
      <c r="A3" s="482" t="s">
        <v>363</v>
      </c>
      <c r="B3" s="482"/>
      <c r="C3" s="482"/>
      <c r="D3" s="482"/>
      <c r="E3" s="358"/>
      <c r="F3" s="358"/>
      <c r="G3" s="358"/>
      <c r="H3" s="358"/>
      <c r="I3" s="358"/>
      <c r="J3" s="358"/>
      <c r="K3" s="358"/>
      <c r="L3" s="358"/>
      <c r="M3" s="358"/>
      <c r="N3" s="358"/>
      <c r="O3" s="358"/>
      <c r="P3" s="358"/>
      <c r="Q3" s="358"/>
      <c r="R3" s="358"/>
    </row>
    <row r="4" spans="1:18" s="138" customFormat="1" ht="18" x14ac:dyDescent="0.35">
      <c r="A4" s="480" t="s">
        <v>405</v>
      </c>
      <c r="B4" s="480"/>
      <c r="C4" s="480"/>
      <c r="D4" s="480"/>
      <c r="E4" s="358"/>
      <c r="F4" s="358"/>
      <c r="G4" s="358"/>
      <c r="H4" s="358"/>
      <c r="I4" s="358"/>
      <c r="J4" s="358"/>
      <c r="K4" s="358"/>
      <c r="L4" s="358"/>
      <c r="M4" s="358"/>
      <c r="N4" s="358"/>
      <c r="O4" s="358"/>
      <c r="P4" s="358"/>
      <c r="Q4" s="358"/>
      <c r="R4" s="358"/>
    </row>
    <row r="5" spans="1:18" ht="18" x14ac:dyDescent="0.35">
      <c r="A5" s="139"/>
      <c r="B5" s="97"/>
      <c r="C5" s="97"/>
      <c r="D5" s="7"/>
    </row>
    <row r="6" spans="1:18" ht="30" x14ac:dyDescent="0.3">
      <c r="A6" s="141" t="s">
        <v>3</v>
      </c>
      <c r="B6" s="144" t="s">
        <v>16</v>
      </c>
      <c r="C6" s="144" t="s">
        <v>17</v>
      </c>
      <c r="D6" s="144" t="s">
        <v>18</v>
      </c>
    </row>
    <row r="7" spans="1:18" ht="15.75" x14ac:dyDescent="0.3">
      <c r="A7" s="148" t="s">
        <v>171</v>
      </c>
      <c r="B7" s="257">
        <v>0</v>
      </c>
      <c r="C7" s="257">
        <v>37273327</v>
      </c>
      <c r="D7" s="257">
        <v>396771</v>
      </c>
    </row>
    <row r="8" spans="1:18" ht="15.75" x14ac:dyDescent="0.3">
      <c r="A8" s="148" t="s">
        <v>172</v>
      </c>
      <c r="B8" s="257">
        <v>36569742</v>
      </c>
      <c r="C8" s="257">
        <v>11921104</v>
      </c>
      <c r="D8" s="257">
        <v>568235</v>
      </c>
    </row>
    <row r="9" spans="1:18" ht="15.75" x14ac:dyDescent="0.3">
      <c r="A9" s="148" t="s">
        <v>173</v>
      </c>
      <c r="B9" s="271">
        <v>0</v>
      </c>
      <c r="C9" s="271">
        <v>0</v>
      </c>
      <c r="D9" s="271">
        <v>0</v>
      </c>
    </row>
    <row r="10" spans="1:18" ht="15.75" x14ac:dyDescent="0.3">
      <c r="A10" s="148" t="s">
        <v>168</v>
      </c>
      <c r="B10" s="257">
        <v>0</v>
      </c>
      <c r="C10" s="257">
        <v>100107</v>
      </c>
      <c r="D10" s="257">
        <v>0</v>
      </c>
    </row>
    <row r="11" spans="1:18" ht="15.75" x14ac:dyDescent="0.3">
      <c r="A11" s="148" t="s">
        <v>174</v>
      </c>
      <c r="B11" s="257">
        <v>20017613</v>
      </c>
      <c r="C11" s="257">
        <v>20787507</v>
      </c>
      <c r="D11" s="257">
        <v>515229</v>
      </c>
    </row>
    <row r="12" spans="1:18" ht="15.75" x14ac:dyDescent="0.3">
      <c r="A12" s="148" t="s">
        <v>175</v>
      </c>
      <c r="B12" s="257">
        <v>16973</v>
      </c>
      <c r="C12" s="257">
        <v>9814492</v>
      </c>
      <c r="D12" s="257">
        <v>50589</v>
      </c>
    </row>
    <row r="13" spans="1:18" ht="15.75" x14ac:dyDescent="0.3">
      <c r="A13" s="148" t="s">
        <v>176</v>
      </c>
      <c r="B13" s="257">
        <v>0</v>
      </c>
      <c r="C13" s="257">
        <v>1019549</v>
      </c>
      <c r="D13" s="257">
        <v>0</v>
      </c>
    </row>
    <row r="14" spans="1:18" ht="15.75" x14ac:dyDescent="0.3">
      <c r="A14" s="148" t="s">
        <v>169</v>
      </c>
      <c r="B14" s="257">
        <v>0</v>
      </c>
      <c r="C14" s="257">
        <v>62424</v>
      </c>
      <c r="D14" s="257">
        <v>0</v>
      </c>
    </row>
    <row r="15" spans="1:18" ht="15.75" x14ac:dyDescent="0.3">
      <c r="A15" s="148" t="s">
        <v>177</v>
      </c>
      <c r="B15" s="257">
        <v>0</v>
      </c>
      <c r="C15" s="257">
        <v>4264496</v>
      </c>
      <c r="D15" s="257">
        <v>108668</v>
      </c>
    </row>
    <row r="16" spans="1:18" ht="15.75" x14ac:dyDescent="0.3">
      <c r="A16" s="148" t="s">
        <v>178</v>
      </c>
      <c r="B16" s="257">
        <v>0</v>
      </c>
      <c r="C16" s="257">
        <v>10493598</v>
      </c>
      <c r="D16" s="257">
        <v>535938</v>
      </c>
    </row>
    <row r="17" spans="1:6" ht="15.75" x14ac:dyDescent="0.3">
      <c r="A17" s="148" t="s">
        <v>179</v>
      </c>
      <c r="B17" s="257">
        <v>0</v>
      </c>
      <c r="C17" s="257">
        <v>1147884</v>
      </c>
      <c r="D17" s="257">
        <v>61780</v>
      </c>
    </row>
    <row r="18" spans="1:6" ht="15.75" x14ac:dyDescent="0.3">
      <c r="A18" s="148" t="s">
        <v>180</v>
      </c>
      <c r="B18" s="271">
        <v>0</v>
      </c>
      <c r="C18" s="271">
        <v>161739</v>
      </c>
      <c r="D18" s="271">
        <v>0</v>
      </c>
    </row>
    <row r="19" spans="1:6" ht="15.75" x14ac:dyDescent="0.3">
      <c r="A19" s="148" t="s">
        <v>181</v>
      </c>
      <c r="B19" s="271">
        <v>0</v>
      </c>
      <c r="C19" s="271">
        <v>0</v>
      </c>
      <c r="D19" s="271">
        <v>0</v>
      </c>
    </row>
    <row r="20" spans="1:6" ht="15.75" x14ac:dyDescent="0.3">
      <c r="A20" s="148" t="s">
        <v>182</v>
      </c>
      <c r="B20" s="257">
        <v>0</v>
      </c>
      <c r="C20" s="257">
        <v>205008</v>
      </c>
      <c r="D20" s="257">
        <v>0</v>
      </c>
    </row>
    <row r="21" spans="1:6" ht="15.75" x14ac:dyDescent="0.3">
      <c r="A21" s="148" t="s">
        <v>183</v>
      </c>
      <c r="B21" s="257">
        <v>0</v>
      </c>
      <c r="C21" s="257">
        <v>563583</v>
      </c>
      <c r="D21" s="257">
        <v>8658</v>
      </c>
    </row>
    <row r="22" spans="1:6" ht="15.75" x14ac:dyDescent="0.3">
      <c r="A22" s="148" t="s">
        <v>184</v>
      </c>
      <c r="B22" s="257">
        <v>0</v>
      </c>
      <c r="C22" s="257">
        <v>415199</v>
      </c>
      <c r="D22" s="257">
        <v>0</v>
      </c>
    </row>
    <row r="23" spans="1:6" ht="15.75" x14ac:dyDescent="0.3">
      <c r="A23" s="148" t="s">
        <v>185</v>
      </c>
      <c r="B23" s="257">
        <v>0</v>
      </c>
      <c r="C23" s="257">
        <v>395371</v>
      </c>
      <c r="D23" s="257">
        <v>479</v>
      </c>
    </row>
    <row r="24" spans="1:6" ht="15.75" x14ac:dyDescent="0.3">
      <c r="A24" s="148" t="s">
        <v>186</v>
      </c>
      <c r="B24" s="257">
        <v>1692</v>
      </c>
      <c r="C24" s="257">
        <v>1467713</v>
      </c>
      <c r="D24" s="257">
        <v>146750</v>
      </c>
    </row>
    <row r="25" spans="1:6" ht="15.75" x14ac:dyDescent="0.3">
      <c r="A25" s="148" t="s">
        <v>170</v>
      </c>
      <c r="B25" s="257">
        <v>0</v>
      </c>
      <c r="C25" s="257">
        <v>63494</v>
      </c>
      <c r="D25" s="257">
        <v>0</v>
      </c>
    </row>
    <row r="26" spans="1:6" ht="15.75" x14ac:dyDescent="0.3">
      <c r="A26" s="148" t="s">
        <v>187</v>
      </c>
      <c r="B26" s="257">
        <v>0</v>
      </c>
      <c r="C26" s="257">
        <v>1848268</v>
      </c>
      <c r="D26" s="257">
        <v>417</v>
      </c>
    </row>
    <row r="27" spans="1:6" ht="15.75" x14ac:dyDescent="0.3">
      <c r="A27" s="148" t="s">
        <v>188</v>
      </c>
      <c r="B27" s="261">
        <v>0</v>
      </c>
      <c r="C27" s="261">
        <v>2691024</v>
      </c>
      <c r="D27" s="261">
        <v>108266</v>
      </c>
    </row>
    <row r="28" spans="1:6" ht="15.75" x14ac:dyDescent="0.3">
      <c r="A28" s="146" t="s">
        <v>0</v>
      </c>
      <c r="B28" s="246">
        <f>SUM(B7:B27)</f>
        <v>56606020</v>
      </c>
      <c r="C28" s="246">
        <f>SUM(C7:C27)</f>
        <v>104695887</v>
      </c>
      <c r="D28" s="246">
        <f>SUM(D7:D27)</f>
        <v>2501780</v>
      </c>
    </row>
    <row r="29" spans="1:6" ht="15.75" x14ac:dyDescent="0.3">
      <c r="A29" s="146"/>
      <c r="B29" s="151"/>
      <c r="C29" s="151"/>
      <c r="D29" s="151"/>
    </row>
    <row r="30" spans="1:6" ht="15.75" x14ac:dyDescent="0.3">
      <c r="A30" s="30" t="s">
        <v>148</v>
      </c>
      <c r="B30" s="14"/>
      <c r="C30" s="14"/>
      <c r="D30" s="14"/>
    </row>
    <row r="31" spans="1:6" ht="15.75" x14ac:dyDescent="0.3">
      <c r="A31" s="147" t="s">
        <v>149</v>
      </c>
      <c r="B31" s="361">
        <v>0</v>
      </c>
      <c r="C31" s="362">
        <v>72744</v>
      </c>
      <c r="D31" s="362">
        <v>867007</v>
      </c>
    </row>
    <row r="32" spans="1:6" ht="15.75" x14ac:dyDescent="0.3">
      <c r="A32" s="147" t="s">
        <v>150</v>
      </c>
      <c r="B32" s="361">
        <v>0</v>
      </c>
      <c r="C32" s="362">
        <v>1306261</v>
      </c>
      <c r="D32" s="362">
        <v>555592</v>
      </c>
      <c r="F32" s="103"/>
    </row>
    <row r="33" spans="1:5" ht="15.75" x14ac:dyDescent="0.3">
      <c r="A33" s="148" t="s">
        <v>167</v>
      </c>
      <c r="B33" s="363">
        <v>0</v>
      </c>
      <c r="C33" s="363">
        <v>1082761</v>
      </c>
      <c r="D33" s="363">
        <v>6251103</v>
      </c>
    </row>
    <row r="34" spans="1:5" ht="15.75" x14ac:dyDescent="0.3">
      <c r="A34" s="30" t="s">
        <v>151</v>
      </c>
      <c r="B34" s="364">
        <f>SUM(B31:B33)</f>
        <v>0</v>
      </c>
      <c r="C34" s="364">
        <f>SUM(C31:C33)</f>
        <v>2461766</v>
      </c>
      <c r="D34" s="364">
        <f>SUM(D31:D33)</f>
        <v>7673702</v>
      </c>
    </row>
    <row r="35" spans="1:5" ht="15.75" x14ac:dyDescent="0.3">
      <c r="A35" s="149"/>
      <c r="B35" s="361"/>
      <c r="C35" s="361"/>
      <c r="D35" s="361"/>
    </row>
    <row r="36" spans="1:5" ht="15.75" x14ac:dyDescent="0.3">
      <c r="A36" s="150" t="s">
        <v>152</v>
      </c>
      <c r="B36" s="364">
        <f>B28+B34</f>
        <v>56606020</v>
      </c>
      <c r="C36" s="364">
        <f t="shared" ref="C36:D36" si="0">C28+C34</f>
        <v>107157653</v>
      </c>
      <c r="D36" s="364">
        <f t="shared" si="0"/>
        <v>10175482</v>
      </c>
    </row>
    <row r="37" spans="1:5" x14ac:dyDescent="0.25">
      <c r="A37" s="1"/>
      <c r="B37" s="13"/>
      <c r="C37" s="13"/>
      <c r="D37" s="13"/>
    </row>
    <row r="38" spans="1:5" x14ac:dyDescent="0.25">
      <c r="A38" s="1"/>
      <c r="B38" s="104"/>
      <c r="C38" s="104"/>
      <c r="D38" s="104"/>
    </row>
    <row r="39" spans="1:5" ht="15.75" x14ac:dyDescent="0.3">
      <c r="A39" s="150" t="s">
        <v>22</v>
      </c>
      <c r="B39" s="44">
        <v>126619</v>
      </c>
      <c r="C39" s="44">
        <v>43295</v>
      </c>
      <c r="D39" s="44">
        <v>2036</v>
      </c>
      <c r="E39" s="159"/>
    </row>
    <row r="40" spans="1:5" ht="15.75" x14ac:dyDescent="0.3">
      <c r="A40" s="30" t="s">
        <v>384</v>
      </c>
      <c r="B40" s="364">
        <f>B36/B39</f>
        <v>447.05786651292459</v>
      </c>
      <c r="C40" s="364">
        <f t="shared" ref="C40:D40" si="1">C36/C39</f>
        <v>2475.0583901143318</v>
      </c>
      <c r="D40" s="364">
        <f t="shared" si="1"/>
        <v>4997.7809430255402</v>
      </c>
    </row>
    <row r="41" spans="1:5" ht="15.75" x14ac:dyDescent="0.3">
      <c r="A41" s="4"/>
      <c r="B41" s="111"/>
      <c r="C41" s="111"/>
      <c r="D41" s="76"/>
    </row>
    <row r="42" spans="1:5" ht="15.75" x14ac:dyDescent="0.3">
      <c r="B42" s="117"/>
      <c r="C42" s="117"/>
      <c r="D42" s="118"/>
    </row>
    <row r="43" spans="1:5" ht="15.75" x14ac:dyDescent="0.3">
      <c r="A43" s="158" t="s">
        <v>385</v>
      </c>
      <c r="B43" s="117"/>
      <c r="C43" s="117"/>
      <c r="D43" s="118"/>
    </row>
    <row r="44" spans="1:5" ht="15.75" x14ac:dyDescent="0.3">
      <c r="B44" s="117"/>
      <c r="C44" s="117"/>
      <c r="D44" s="118"/>
    </row>
    <row r="45" spans="1:5" x14ac:dyDescent="0.25">
      <c r="B45" s="4"/>
      <c r="C45" s="4"/>
      <c r="D45" s="4"/>
    </row>
    <row r="46" spans="1:5" x14ac:dyDescent="0.25">
      <c r="B46" s="4"/>
      <c r="C46" s="2"/>
      <c r="D46" s="4"/>
    </row>
    <row r="47" spans="1:5" ht="15.75" x14ac:dyDescent="0.3">
      <c r="B47" s="117"/>
      <c r="C47" s="117"/>
      <c r="D47" s="118"/>
    </row>
    <row r="48" spans="1:5" ht="15.75" x14ac:dyDescent="0.3">
      <c r="B48" s="117"/>
      <c r="C48" s="117"/>
      <c r="D48" s="4"/>
      <c r="E48" s="360"/>
    </row>
  </sheetData>
  <mergeCells count="4">
    <mergeCell ref="A1:D1"/>
    <mergeCell ref="A2:D2"/>
    <mergeCell ref="A3:D3"/>
    <mergeCell ref="A4:D4"/>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74FC-1FBA-4F9E-A988-B9439E15094B}">
  <dimension ref="A1:R25"/>
  <sheetViews>
    <sheetView showGridLines="0" workbookViewId="0">
      <selection sqref="A1:J1"/>
    </sheetView>
  </sheetViews>
  <sheetFormatPr defaultRowHeight="16.5" x14ac:dyDescent="0.3"/>
  <cols>
    <col min="1" max="1" width="13.7109375" style="199" customWidth="1"/>
    <col min="2" max="2" width="20.5703125" style="199" customWidth="1"/>
    <col min="3" max="3" width="17.5703125" style="199" bestFit="1" customWidth="1"/>
    <col min="4" max="7" width="17.5703125" style="200" bestFit="1" customWidth="1"/>
    <col min="8" max="8" width="17.5703125" style="200" customWidth="1"/>
    <col min="9" max="10" width="17.5703125" style="200" bestFit="1" customWidth="1"/>
    <col min="11" max="11" width="20.140625" style="199" customWidth="1"/>
    <col min="12" max="12" width="9.85546875" style="199" customWidth="1"/>
    <col min="13" max="13" width="4" style="199" customWidth="1"/>
    <col min="14" max="14" width="16.5703125" style="199" bestFit="1" customWidth="1"/>
    <col min="15" max="15" width="16" style="199" bestFit="1" customWidth="1"/>
    <col min="16" max="16" width="4" style="199" customWidth="1"/>
    <col min="17" max="17" width="16.5703125" style="199" bestFit="1" customWidth="1"/>
    <col min="18" max="18" width="16" style="199" bestFit="1" customWidth="1"/>
    <col min="19" max="249" width="9.140625" style="199"/>
    <col min="250" max="250" width="13.7109375" style="199" customWidth="1"/>
    <col min="251" max="251" width="20.5703125" style="199" bestFit="1" customWidth="1"/>
    <col min="252" max="252" width="9.85546875" style="199" bestFit="1" customWidth="1"/>
    <col min="253" max="253" width="5.140625" style="199" customWidth="1"/>
    <col min="254" max="254" width="20.140625" style="199" bestFit="1" customWidth="1"/>
    <col min="255" max="255" width="9.85546875" style="199" bestFit="1" customWidth="1"/>
    <col min="256" max="256" width="4.28515625" style="199" customWidth="1"/>
    <col min="257" max="257" width="21.140625" style="199" bestFit="1" customWidth="1"/>
    <col min="258" max="258" width="9.85546875" style="199" bestFit="1" customWidth="1"/>
    <col min="259" max="259" width="4.42578125" style="199" customWidth="1"/>
    <col min="260" max="260" width="20.140625" style="199" bestFit="1" customWidth="1"/>
    <col min="261" max="261" width="9.85546875" style="199" bestFit="1" customWidth="1"/>
    <col min="262" max="505" width="9.140625" style="199"/>
    <col min="506" max="506" width="13.7109375" style="199" customWidth="1"/>
    <col min="507" max="507" width="20.5703125" style="199" bestFit="1" customWidth="1"/>
    <col min="508" max="508" width="9.85546875" style="199" bestFit="1" customWidth="1"/>
    <col min="509" max="509" width="5.140625" style="199" customWidth="1"/>
    <col min="510" max="510" width="20.140625" style="199" bestFit="1" customWidth="1"/>
    <col min="511" max="511" width="9.85546875" style="199" bestFit="1" customWidth="1"/>
    <col min="512" max="512" width="4.28515625" style="199" customWidth="1"/>
    <col min="513" max="513" width="21.140625" style="199" bestFit="1" customWidth="1"/>
    <col min="514" max="514" width="9.85546875" style="199" bestFit="1" customWidth="1"/>
    <col min="515" max="515" width="4.42578125" style="199" customWidth="1"/>
    <col min="516" max="516" width="20.140625" style="199" bestFit="1" customWidth="1"/>
    <col min="517" max="517" width="9.85546875" style="199" bestFit="1" customWidth="1"/>
    <col min="518" max="761" width="9.140625" style="199"/>
    <col min="762" max="762" width="13.7109375" style="199" customWidth="1"/>
    <col min="763" max="763" width="20.5703125" style="199" bestFit="1" customWidth="1"/>
    <col min="764" max="764" width="9.85546875" style="199" bestFit="1" customWidth="1"/>
    <col min="765" max="765" width="5.140625" style="199" customWidth="1"/>
    <col min="766" max="766" width="20.140625" style="199" bestFit="1" customWidth="1"/>
    <col min="767" max="767" width="9.85546875" style="199" bestFit="1" customWidth="1"/>
    <col min="768" max="768" width="4.28515625" style="199" customWidth="1"/>
    <col min="769" max="769" width="21.140625" style="199" bestFit="1" customWidth="1"/>
    <col min="770" max="770" width="9.85546875" style="199" bestFit="1" customWidth="1"/>
    <col min="771" max="771" width="4.42578125" style="199" customWidth="1"/>
    <col min="772" max="772" width="20.140625" style="199" bestFit="1" customWidth="1"/>
    <col min="773" max="773" width="9.85546875" style="199" bestFit="1" customWidth="1"/>
    <col min="774" max="1017" width="9.140625" style="199"/>
    <col min="1018" max="1018" width="13.7109375" style="199" customWidth="1"/>
    <col min="1019" max="1019" width="20.5703125" style="199" bestFit="1" customWidth="1"/>
    <col min="1020" max="1020" width="9.85546875" style="199" bestFit="1" customWidth="1"/>
    <col min="1021" max="1021" width="5.140625" style="199" customWidth="1"/>
    <col min="1022" max="1022" width="20.140625" style="199" bestFit="1" customWidth="1"/>
    <col min="1023" max="1023" width="9.85546875" style="199" bestFit="1" customWidth="1"/>
    <col min="1024" max="1024" width="4.28515625" style="199" customWidth="1"/>
    <col min="1025" max="1025" width="21.140625" style="199" bestFit="1" customWidth="1"/>
    <col min="1026" max="1026" width="9.85546875" style="199" bestFit="1" customWidth="1"/>
    <col min="1027" max="1027" width="4.42578125" style="199" customWidth="1"/>
    <col min="1028" max="1028" width="20.140625" style="199" bestFit="1" customWidth="1"/>
    <col min="1029" max="1029" width="9.85546875" style="199" bestFit="1" customWidth="1"/>
    <col min="1030" max="1273" width="9.140625" style="199"/>
    <col min="1274" max="1274" width="13.7109375" style="199" customWidth="1"/>
    <col min="1275" max="1275" width="20.5703125" style="199" bestFit="1" customWidth="1"/>
    <col min="1276" max="1276" width="9.85546875" style="199" bestFit="1" customWidth="1"/>
    <col min="1277" max="1277" width="5.140625" style="199" customWidth="1"/>
    <col min="1278" max="1278" width="20.140625" style="199" bestFit="1" customWidth="1"/>
    <col min="1279" max="1279" width="9.85546875" style="199" bestFit="1" customWidth="1"/>
    <col min="1280" max="1280" width="4.28515625" style="199" customWidth="1"/>
    <col min="1281" max="1281" width="21.140625" style="199" bestFit="1" customWidth="1"/>
    <col min="1282" max="1282" width="9.85546875" style="199" bestFit="1" customWidth="1"/>
    <col min="1283" max="1283" width="4.42578125" style="199" customWidth="1"/>
    <col min="1284" max="1284" width="20.140625" style="199" bestFit="1" customWidth="1"/>
    <col min="1285" max="1285" width="9.85546875" style="199" bestFit="1" customWidth="1"/>
    <col min="1286" max="1529" width="9.140625" style="199"/>
    <col min="1530" max="1530" width="13.7109375" style="199" customWidth="1"/>
    <col min="1531" max="1531" width="20.5703125" style="199" bestFit="1" customWidth="1"/>
    <col min="1532" max="1532" width="9.85546875" style="199" bestFit="1" customWidth="1"/>
    <col min="1533" max="1533" width="5.140625" style="199" customWidth="1"/>
    <col min="1534" max="1534" width="20.140625" style="199" bestFit="1" customWidth="1"/>
    <col min="1535" max="1535" width="9.85546875" style="199" bestFit="1" customWidth="1"/>
    <col min="1536" max="1536" width="4.28515625" style="199" customWidth="1"/>
    <col min="1537" max="1537" width="21.140625" style="199" bestFit="1" customWidth="1"/>
    <col min="1538" max="1538" width="9.85546875" style="199" bestFit="1" customWidth="1"/>
    <col min="1539" max="1539" width="4.42578125" style="199" customWidth="1"/>
    <col min="1540" max="1540" width="20.140625" style="199" bestFit="1" customWidth="1"/>
    <col min="1541" max="1541" width="9.85546875" style="199" bestFit="1" customWidth="1"/>
    <col min="1542" max="1785" width="9.140625" style="199"/>
    <col min="1786" max="1786" width="13.7109375" style="199" customWidth="1"/>
    <col min="1787" max="1787" width="20.5703125" style="199" bestFit="1" customWidth="1"/>
    <col min="1788" max="1788" width="9.85546875" style="199" bestFit="1" customWidth="1"/>
    <col min="1789" max="1789" width="5.140625" style="199" customWidth="1"/>
    <col min="1790" max="1790" width="20.140625" style="199" bestFit="1" customWidth="1"/>
    <col min="1791" max="1791" width="9.85546875" style="199" bestFit="1" customWidth="1"/>
    <col min="1792" max="1792" width="4.28515625" style="199" customWidth="1"/>
    <col min="1793" max="1793" width="21.140625" style="199" bestFit="1" customWidth="1"/>
    <col min="1794" max="1794" width="9.85546875" style="199" bestFit="1" customWidth="1"/>
    <col min="1795" max="1795" width="4.42578125" style="199" customWidth="1"/>
    <col min="1796" max="1796" width="20.140625" style="199" bestFit="1" customWidth="1"/>
    <col min="1797" max="1797" width="9.85546875" style="199" bestFit="1" customWidth="1"/>
    <col min="1798" max="2041" width="9.140625" style="199"/>
    <col min="2042" max="2042" width="13.7109375" style="199" customWidth="1"/>
    <col min="2043" max="2043" width="20.5703125" style="199" bestFit="1" customWidth="1"/>
    <col min="2044" max="2044" width="9.85546875" style="199" bestFit="1" customWidth="1"/>
    <col min="2045" max="2045" width="5.140625" style="199" customWidth="1"/>
    <col min="2046" max="2046" width="20.140625" style="199" bestFit="1" customWidth="1"/>
    <col min="2047" max="2047" width="9.85546875" style="199" bestFit="1" customWidth="1"/>
    <col min="2048" max="2048" width="4.28515625" style="199" customWidth="1"/>
    <col min="2049" max="2049" width="21.140625" style="199" bestFit="1" customWidth="1"/>
    <col min="2050" max="2050" width="9.85546875" style="199" bestFit="1" customWidth="1"/>
    <col min="2051" max="2051" width="4.42578125" style="199" customWidth="1"/>
    <col min="2052" max="2052" width="20.140625" style="199" bestFit="1" customWidth="1"/>
    <col min="2053" max="2053" width="9.85546875" style="199" bestFit="1" customWidth="1"/>
    <col min="2054" max="2297" width="9.140625" style="199"/>
    <col min="2298" max="2298" width="13.7109375" style="199" customWidth="1"/>
    <col min="2299" max="2299" width="20.5703125" style="199" bestFit="1" customWidth="1"/>
    <col min="2300" max="2300" width="9.85546875" style="199" bestFit="1" customWidth="1"/>
    <col min="2301" max="2301" width="5.140625" style="199" customWidth="1"/>
    <col min="2302" max="2302" width="20.140625" style="199" bestFit="1" customWidth="1"/>
    <col min="2303" max="2303" width="9.85546875" style="199" bestFit="1" customWidth="1"/>
    <col min="2304" max="2304" width="4.28515625" style="199" customWidth="1"/>
    <col min="2305" max="2305" width="21.140625" style="199" bestFit="1" customWidth="1"/>
    <col min="2306" max="2306" width="9.85546875" style="199" bestFit="1" customWidth="1"/>
    <col min="2307" max="2307" width="4.42578125" style="199" customWidth="1"/>
    <col min="2308" max="2308" width="20.140625" style="199" bestFit="1" customWidth="1"/>
    <col min="2309" max="2309" width="9.85546875" style="199" bestFit="1" customWidth="1"/>
    <col min="2310" max="2553" width="9.140625" style="199"/>
    <col min="2554" max="2554" width="13.7109375" style="199" customWidth="1"/>
    <col min="2555" max="2555" width="20.5703125" style="199" bestFit="1" customWidth="1"/>
    <col min="2556" max="2556" width="9.85546875" style="199" bestFit="1" customWidth="1"/>
    <col min="2557" max="2557" width="5.140625" style="199" customWidth="1"/>
    <col min="2558" max="2558" width="20.140625" style="199" bestFit="1" customWidth="1"/>
    <col min="2559" max="2559" width="9.85546875" style="199" bestFit="1" customWidth="1"/>
    <col min="2560" max="2560" width="4.28515625" style="199" customWidth="1"/>
    <col min="2561" max="2561" width="21.140625" style="199" bestFit="1" customWidth="1"/>
    <col min="2562" max="2562" width="9.85546875" style="199" bestFit="1" customWidth="1"/>
    <col min="2563" max="2563" width="4.42578125" style="199" customWidth="1"/>
    <col min="2564" max="2564" width="20.140625" style="199" bestFit="1" customWidth="1"/>
    <col min="2565" max="2565" width="9.85546875" style="199" bestFit="1" customWidth="1"/>
    <col min="2566" max="2809" width="9.140625" style="199"/>
    <col min="2810" max="2810" width="13.7109375" style="199" customWidth="1"/>
    <col min="2811" max="2811" width="20.5703125" style="199" bestFit="1" customWidth="1"/>
    <col min="2812" max="2812" width="9.85546875" style="199" bestFit="1" customWidth="1"/>
    <col min="2813" max="2813" width="5.140625" style="199" customWidth="1"/>
    <col min="2814" max="2814" width="20.140625" style="199" bestFit="1" customWidth="1"/>
    <col min="2815" max="2815" width="9.85546875" style="199" bestFit="1" customWidth="1"/>
    <col min="2816" max="2816" width="4.28515625" style="199" customWidth="1"/>
    <col min="2817" max="2817" width="21.140625" style="199" bestFit="1" customWidth="1"/>
    <col min="2818" max="2818" width="9.85546875" style="199" bestFit="1" customWidth="1"/>
    <col min="2819" max="2819" width="4.42578125" style="199" customWidth="1"/>
    <col min="2820" max="2820" width="20.140625" style="199" bestFit="1" customWidth="1"/>
    <col min="2821" max="2821" width="9.85546875" style="199" bestFit="1" customWidth="1"/>
    <col min="2822" max="3065" width="9.140625" style="199"/>
    <col min="3066" max="3066" width="13.7109375" style="199" customWidth="1"/>
    <col min="3067" max="3067" width="20.5703125" style="199" bestFit="1" customWidth="1"/>
    <col min="3068" max="3068" width="9.85546875" style="199" bestFit="1" customWidth="1"/>
    <col min="3069" max="3069" width="5.140625" style="199" customWidth="1"/>
    <col min="3070" max="3070" width="20.140625" style="199" bestFit="1" customWidth="1"/>
    <col min="3071" max="3071" width="9.85546875" style="199" bestFit="1" customWidth="1"/>
    <col min="3072" max="3072" width="4.28515625" style="199" customWidth="1"/>
    <col min="3073" max="3073" width="21.140625" style="199" bestFit="1" customWidth="1"/>
    <col min="3074" max="3074" width="9.85546875" style="199" bestFit="1" customWidth="1"/>
    <col min="3075" max="3075" width="4.42578125" style="199" customWidth="1"/>
    <col min="3076" max="3076" width="20.140625" style="199" bestFit="1" customWidth="1"/>
    <col min="3077" max="3077" width="9.85546875" style="199" bestFit="1" customWidth="1"/>
    <col min="3078" max="3321" width="9.140625" style="199"/>
    <col min="3322" max="3322" width="13.7109375" style="199" customWidth="1"/>
    <col min="3323" max="3323" width="20.5703125" style="199" bestFit="1" customWidth="1"/>
    <col min="3324" max="3324" width="9.85546875" style="199" bestFit="1" customWidth="1"/>
    <col min="3325" max="3325" width="5.140625" style="199" customWidth="1"/>
    <col min="3326" max="3326" width="20.140625" style="199" bestFit="1" customWidth="1"/>
    <col min="3327" max="3327" width="9.85546875" style="199" bestFit="1" customWidth="1"/>
    <col min="3328" max="3328" width="4.28515625" style="199" customWidth="1"/>
    <col min="3329" max="3329" width="21.140625" style="199" bestFit="1" customWidth="1"/>
    <col min="3330" max="3330" width="9.85546875" style="199" bestFit="1" customWidth="1"/>
    <col min="3331" max="3331" width="4.42578125" style="199" customWidth="1"/>
    <col min="3332" max="3332" width="20.140625" style="199" bestFit="1" customWidth="1"/>
    <col min="3333" max="3333" width="9.85546875" style="199" bestFit="1" customWidth="1"/>
    <col min="3334" max="3577" width="9.140625" style="199"/>
    <col min="3578" max="3578" width="13.7109375" style="199" customWidth="1"/>
    <col min="3579" max="3579" width="20.5703125" style="199" bestFit="1" customWidth="1"/>
    <col min="3580" max="3580" width="9.85546875" style="199" bestFit="1" customWidth="1"/>
    <col min="3581" max="3581" width="5.140625" style="199" customWidth="1"/>
    <col min="3582" max="3582" width="20.140625" style="199" bestFit="1" customWidth="1"/>
    <col min="3583" max="3583" width="9.85546875" style="199" bestFit="1" customWidth="1"/>
    <col min="3584" max="3584" width="4.28515625" style="199" customWidth="1"/>
    <col min="3585" max="3585" width="21.140625" style="199" bestFit="1" customWidth="1"/>
    <col min="3586" max="3586" width="9.85546875" style="199" bestFit="1" customWidth="1"/>
    <col min="3587" max="3587" width="4.42578125" style="199" customWidth="1"/>
    <col min="3588" max="3588" width="20.140625" style="199" bestFit="1" customWidth="1"/>
    <col min="3589" max="3589" width="9.85546875" style="199" bestFit="1" customWidth="1"/>
    <col min="3590" max="3833" width="9.140625" style="199"/>
    <col min="3834" max="3834" width="13.7109375" style="199" customWidth="1"/>
    <col min="3835" max="3835" width="20.5703125" style="199" bestFit="1" customWidth="1"/>
    <col min="3836" max="3836" width="9.85546875" style="199" bestFit="1" customWidth="1"/>
    <col min="3837" max="3837" width="5.140625" style="199" customWidth="1"/>
    <col min="3838" max="3838" width="20.140625" style="199" bestFit="1" customWidth="1"/>
    <col min="3839" max="3839" width="9.85546875" style="199" bestFit="1" customWidth="1"/>
    <col min="3840" max="3840" width="4.28515625" style="199" customWidth="1"/>
    <col min="3841" max="3841" width="21.140625" style="199" bestFit="1" customWidth="1"/>
    <col min="3842" max="3842" width="9.85546875" style="199" bestFit="1" customWidth="1"/>
    <col min="3843" max="3843" width="4.42578125" style="199" customWidth="1"/>
    <col min="3844" max="3844" width="20.140625" style="199" bestFit="1" customWidth="1"/>
    <col min="3845" max="3845" width="9.85546875" style="199" bestFit="1" customWidth="1"/>
    <col min="3846" max="4089" width="9.140625" style="199"/>
    <col min="4090" max="4090" width="13.7109375" style="199" customWidth="1"/>
    <col min="4091" max="4091" width="20.5703125" style="199" bestFit="1" customWidth="1"/>
    <col min="4092" max="4092" width="9.85546875" style="199" bestFit="1" customWidth="1"/>
    <col min="4093" max="4093" width="5.140625" style="199" customWidth="1"/>
    <col min="4094" max="4094" width="20.140625" style="199" bestFit="1" customWidth="1"/>
    <col min="4095" max="4095" width="9.85546875" style="199" bestFit="1" customWidth="1"/>
    <col min="4096" max="4096" width="4.28515625" style="199" customWidth="1"/>
    <col min="4097" max="4097" width="21.140625" style="199" bestFit="1" customWidth="1"/>
    <col min="4098" max="4098" width="9.85546875" style="199" bestFit="1" customWidth="1"/>
    <col min="4099" max="4099" width="4.42578125" style="199" customWidth="1"/>
    <col min="4100" max="4100" width="20.140625" style="199" bestFit="1" customWidth="1"/>
    <col min="4101" max="4101" width="9.85546875" style="199" bestFit="1" customWidth="1"/>
    <col min="4102" max="4345" width="9.140625" style="199"/>
    <col min="4346" max="4346" width="13.7109375" style="199" customWidth="1"/>
    <col min="4347" max="4347" width="20.5703125" style="199" bestFit="1" customWidth="1"/>
    <col min="4348" max="4348" width="9.85546875" style="199" bestFit="1" customWidth="1"/>
    <col min="4349" max="4349" width="5.140625" style="199" customWidth="1"/>
    <col min="4350" max="4350" width="20.140625" style="199" bestFit="1" customWidth="1"/>
    <col min="4351" max="4351" width="9.85546875" style="199" bestFit="1" customWidth="1"/>
    <col min="4352" max="4352" width="4.28515625" style="199" customWidth="1"/>
    <col min="4353" max="4353" width="21.140625" style="199" bestFit="1" customWidth="1"/>
    <col min="4354" max="4354" width="9.85546875" style="199" bestFit="1" customWidth="1"/>
    <col min="4355" max="4355" width="4.42578125" style="199" customWidth="1"/>
    <col min="4356" max="4356" width="20.140625" style="199" bestFit="1" customWidth="1"/>
    <col min="4357" max="4357" width="9.85546875" style="199" bestFit="1" customWidth="1"/>
    <col min="4358" max="4601" width="9.140625" style="199"/>
    <col min="4602" max="4602" width="13.7109375" style="199" customWidth="1"/>
    <col min="4603" max="4603" width="20.5703125" style="199" bestFit="1" customWidth="1"/>
    <col min="4604" max="4604" width="9.85546875" style="199" bestFit="1" customWidth="1"/>
    <col min="4605" max="4605" width="5.140625" style="199" customWidth="1"/>
    <col min="4606" max="4606" width="20.140625" style="199" bestFit="1" customWidth="1"/>
    <col min="4607" max="4607" width="9.85546875" style="199" bestFit="1" customWidth="1"/>
    <col min="4608" max="4608" width="4.28515625" style="199" customWidth="1"/>
    <col min="4609" max="4609" width="21.140625" style="199" bestFit="1" customWidth="1"/>
    <col min="4610" max="4610" width="9.85546875" style="199" bestFit="1" customWidth="1"/>
    <col min="4611" max="4611" width="4.42578125" style="199" customWidth="1"/>
    <col min="4612" max="4612" width="20.140625" style="199" bestFit="1" customWidth="1"/>
    <col min="4613" max="4613" width="9.85546875" style="199" bestFit="1" customWidth="1"/>
    <col min="4614" max="4857" width="9.140625" style="199"/>
    <col min="4858" max="4858" width="13.7109375" style="199" customWidth="1"/>
    <col min="4859" max="4859" width="20.5703125" style="199" bestFit="1" customWidth="1"/>
    <col min="4860" max="4860" width="9.85546875" style="199" bestFit="1" customWidth="1"/>
    <col min="4861" max="4861" width="5.140625" style="199" customWidth="1"/>
    <col min="4862" max="4862" width="20.140625" style="199" bestFit="1" customWidth="1"/>
    <col min="4863" max="4863" width="9.85546875" style="199" bestFit="1" customWidth="1"/>
    <col min="4864" max="4864" width="4.28515625" style="199" customWidth="1"/>
    <col min="4865" max="4865" width="21.140625" style="199" bestFit="1" customWidth="1"/>
    <col min="4866" max="4866" width="9.85546875" style="199" bestFit="1" customWidth="1"/>
    <col min="4867" max="4867" width="4.42578125" style="199" customWidth="1"/>
    <col min="4868" max="4868" width="20.140625" style="199" bestFit="1" customWidth="1"/>
    <col min="4869" max="4869" width="9.85546875" style="199" bestFit="1" customWidth="1"/>
    <col min="4870" max="5113" width="9.140625" style="199"/>
    <col min="5114" max="5114" width="13.7109375" style="199" customWidth="1"/>
    <col min="5115" max="5115" width="20.5703125" style="199" bestFit="1" customWidth="1"/>
    <col min="5116" max="5116" width="9.85546875" style="199" bestFit="1" customWidth="1"/>
    <col min="5117" max="5117" width="5.140625" style="199" customWidth="1"/>
    <col min="5118" max="5118" width="20.140625" style="199" bestFit="1" customWidth="1"/>
    <col min="5119" max="5119" width="9.85546875" style="199" bestFit="1" customWidth="1"/>
    <col min="5120" max="5120" width="4.28515625" style="199" customWidth="1"/>
    <col min="5121" max="5121" width="21.140625" style="199" bestFit="1" customWidth="1"/>
    <col min="5122" max="5122" width="9.85546875" style="199" bestFit="1" customWidth="1"/>
    <col min="5123" max="5123" width="4.42578125" style="199" customWidth="1"/>
    <col min="5124" max="5124" width="20.140625" style="199" bestFit="1" customWidth="1"/>
    <col min="5125" max="5125" width="9.85546875" style="199" bestFit="1" customWidth="1"/>
    <col min="5126" max="5369" width="9.140625" style="199"/>
    <col min="5370" max="5370" width="13.7109375" style="199" customWidth="1"/>
    <col min="5371" max="5371" width="20.5703125" style="199" bestFit="1" customWidth="1"/>
    <col min="5372" max="5372" width="9.85546875" style="199" bestFit="1" customWidth="1"/>
    <col min="5373" max="5373" width="5.140625" style="199" customWidth="1"/>
    <col min="5374" max="5374" width="20.140625" style="199" bestFit="1" customWidth="1"/>
    <col min="5375" max="5375" width="9.85546875" style="199" bestFit="1" customWidth="1"/>
    <col min="5376" max="5376" width="4.28515625" style="199" customWidth="1"/>
    <col min="5377" max="5377" width="21.140625" style="199" bestFit="1" customWidth="1"/>
    <col min="5378" max="5378" width="9.85546875" style="199" bestFit="1" customWidth="1"/>
    <col min="5379" max="5379" width="4.42578125" style="199" customWidth="1"/>
    <col min="5380" max="5380" width="20.140625" style="199" bestFit="1" customWidth="1"/>
    <col min="5381" max="5381" width="9.85546875" style="199" bestFit="1" customWidth="1"/>
    <col min="5382" max="5625" width="9.140625" style="199"/>
    <col min="5626" max="5626" width="13.7109375" style="199" customWidth="1"/>
    <col min="5627" max="5627" width="20.5703125" style="199" bestFit="1" customWidth="1"/>
    <col min="5628" max="5628" width="9.85546875" style="199" bestFit="1" customWidth="1"/>
    <col min="5629" max="5629" width="5.140625" style="199" customWidth="1"/>
    <col min="5630" max="5630" width="20.140625" style="199" bestFit="1" customWidth="1"/>
    <col min="5631" max="5631" width="9.85546875" style="199" bestFit="1" customWidth="1"/>
    <col min="5632" max="5632" width="4.28515625" style="199" customWidth="1"/>
    <col min="5633" max="5633" width="21.140625" style="199" bestFit="1" customWidth="1"/>
    <col min="5634" max="5634" width="9.85546875" style="199" bestFit="1" customWidth="1"/>
    <col min="5635" max="5635" width="4.42578125" style="199" customWidth="1"/>
    <col min="5636" max="5636" width="20.140625" style="199" bestFit="1" customWidth="1"/>
    <col min="5637" max="5637" width="9.85546875" style="199" bestFit="1" customWidth="1"/>
    <col min="5638" max="5881" width="9.140625" style="199"/>
    <col min="5882" max="5882" width="13.7109375" style="199" customWidth="1"/>
    <col min="5883" max="5883" width="20.5703125" style="199" bestFit="1" customWidth="1"/>
    <col min="5884" max="5884" width="9.85546875" style="199" bestFit="1" customWidth="1"/>
    <col min="5885" max="5885" width="5.140625" style="199" customWidth="1"/>
    <col min="5886" max="5886" width="20.140625" style="199" bestFit="1" customWidth="1"/>
    <col min="5887" max="5887" width="9.85546875" style="199" bestFit="1" customWidth="1"/>
    <col min="5888" max="5888" width="4.28515625" style="199" customWidth="1"/>
    <col min="5889" max="5889" width="21.140625" style="199" bestFit="1" customWidth="1"/>
    <col min="5890" max="5890" width="9.85546875" style="199" bestFit="1" customWidth="1"/>
    <col min="5891" max="5891" width="4.42578125" style="199" customWidth="1"/>
    <col min="5892" max="5892" width="20.140625" style="199" bestFit="1" customWidth="1"/>
    <col min="5893" max="5893" width="9.85546875" style="199" bestFit="1" customWidth="1"/>
    <col min="5894" max="6137" width="9.140625" style="199"/>
    <col min="6138" max="6138" width="13.7109375" style="199" customWidth="1"/>
    <col min="6139" max="6139" width="20.5703125" style="199" bestFit="1" customWidth="1"/>
    <col min="6140" max="6140" width="9.85546875" style="199" bestFit="1" customWidth="1"/>
    <col min="6141" max="6141" width="5.140625" style="199" customWidth="1"/>
    <col min="6142" max="6142" width="20.140625" style="199" bestFit="1" customWidth="1"/>
    <col min="6143" max="6143" width="9.85546875" style="199" bestFit="1" customWidth="1"/>
    <col min="6144" max="6144" width="4.28515625" style="199" customWidth="1"/>
    <col min="6145" max="6145" width="21.140625" style="199" bestFit="1" customWidth="1"/>
    <col min="6146" max="6146" width="9.85546875" style="199" bestFit="1" customWidth="1"/>
    <col min="6147" max="6147" width="4.42578125" style="199" customWidth="1"/>
    <col min="6148" max="6148" width="20.140625" style="199" bestFit="1" customWidth="1"/>
    <col min="6149" max="6149" width="9.85546875" style="199" bestFit="1" customWidth="1"/>
    <col min="6150" max="6393" width="9.140625" style="199"/>
    <col min="6394" max="6394" width="13.7109375" style="199" customWidth="1"/>
    <col min="6395" max="6395" width="20.5703125" style="199" bestFit="1" customWidth="1"/>
    <col min="6396" max="6396" width="9.85546875" style="199" bestFit="1" customWidth="1"/>
    <col min="6397" max="6397" width="5.140625" style="199" customWidth="1"/>
    <col min="6398" max="6398" width="20.140625" style="199" bestFit="1" customWidth="1"/>
    <col min="6399" max="6399" width="9.85546875" style="199" bestFit="1" customWidth="1"/>
    <col min="6400" max="6400" width="4.28515625" style="199" customWidth="1"/>
    <col min="6401" max="6401" width="21.140625" style="199" bestFit="1" customWidth="1"/>
    <col min="6402" max="6402" width="9.85546875" style="199" bestFit="1" customWidth="1"/>
    <col min="6403" max="6403" width="4.42578125" style="199" customWidth="1"/>
    <col min="6404" max="6404" width="20.140625" style="199" bestFit="1" customWidth="1"/>
    <col min="6405" max="6405" width="9.85546875" style="199" bestFit="1" customWidth="1"/>
    <col min="6406" max="6649" width="9.140625" style="199"/>
    <col min="6650" max="6650" width="13.7109375" style="199" customWidth="1"/>
    <col min="6651" max="6651" width="20.5703125" style="199" bestFit="1" customWidth="1"/>
    <col min="6652" max="6652" width="9.85546875" style="199" bestFit="1" customWidth="1"/>
    <col min="6653" max="6653" width="5.140625" style="199" customWidth="1"/>
    <col min="6654" max="6654" width="20.140625" style="199" bestFit="1" customWidth="1"/>
    <col min="6655" max="6655" width="9.85546875" style="199" bestFit="1" customWidth="1"/>
    <col min="6656" max="6656" width="4.28515625" style="199" customWidth="1"/>
    <col min="6657" max="6657" width="21.140625" style="199" bestFit="1" customWidth="1"/>
    <col min="6658" max="6658" width="9.85546875" style="199" bestFit="1" customWidth="1"/>
    <col min="6659" max="6659" width="4.42578125" style="199" customWidth="1"/>
    <col min="6660" max="6660" width="20.140625" style="199" bestFit="1" customWidth="1"/>
    <col min="6661" max="6661" width="9.85546875" style="199" bestFit="1" customWidth="1"/>
    <col min="6662" max="6905" width="9.140625" style="199"/>
    <col min="6906" max="6906" width="13.7109375" style="199" customWidth="1"/>
    <col min="6907" max="6907" width="20.5703125" style="199" bestFit="1" customWidth="1"/>
    <col min="6908" max="6908" width="9.85546875" style="199" bestFit="1" customWidth="1"/>
    <col min="6909" max="6909" width="5.140625" style="199" customWidth="1"/>
    <col min="6910" max="6910" width="20.140625" style="199" bestFit="1" customWidth="1"/>
    <col min="6911" max="6911" width="9.85546875" style="199" bestFit="1" customWidth="1"/>
    <col min="6912" max="6912" width="4.28515625" style="199" customWidth="1"/>
    <col min="6913" max="6913" width="21.140625" style="199" bestFit="1" customWidth="1"/>
    <col min="6914" max="6914" width="9.85546875" style="199" bestFit="1" customWidth="1"/>
    <col min="6915" max="6915" width="4.42578125" style="199" customWidth="1"/>
    <col min="6916" max="6916" width="20.140625" style="199" bestFit="1" customWidth="1"/>
    <col min="6917" max="6917" width="9.85546875" style="199" bestFit="1" customWidth="1"/>
    <col min="6918" max="7161" width="9.140625" style="199"/>
    <col min="7162" max="7162" width="13.7109375" style="199" customWidth="1"/>
    <col min="7163" max="7163" width="20.5703125" style="199" bestFit="1" customWidth="1"/>
    <col min="7164" max="7164" width="9.85546875" style="199" bestFit="1" customWidth="1"/>
    <col min="7165" max="7165" width="5.140625" style="199" customWidth="1"/>
    <col min="7166" max="7166" width="20.140625" style="199" bestFit="1" customWidth="1"/>
    <col min="7167" max="7167" width="9.85546875" style="199" bestFit="1" customWidth="1"/>
    <col min="7168" max="7168" width="4.28515625" style="199" customWidth="1"/>
    <col min="7169" max="7169" width="21.140625" style="199" bestFit="1" customWidth="1"/>
    <col min="7170" max="7170" width="9.85546875" style="199" bestFit="1" customWidth="1"/>
    <col min="7171" max="7171" width="4.42578125" style="199" customWidth="1"/>
    <col min="7172" max="7172" width="20.140625" style="199" bestFit="1" customWidth="1"/>
    <col min="7173" max="7173" width="9.85546875" style="199" bestFit="1" customWidth="1"/>
    <col min="7174" max="7417" width="9.140625" style="199"/>
    <col min="7418" max="7418" width="13.7109375" style="199" customWidth="1"/>
    <col min="7419" max="7419" width="20.5703125" style="199" bestFit="1" customWidth="1"/>
    <col min="7420" max="7420" width="9.85546875" style="199" bestFit="1" customWidth="1"/>
    <col min="7421" max="7421" width="5.140625" style="199" customWidth="1"/>
    <col min="7422" max="7422" width="20.140625" style="199" bestFit="1" customWidth="1"/>
    <col min="7423" max="7423" width="9.85546875" style="199" bestFit="1" customWidth="1"/>
    <col min="7424" max="7424" width="4.28515625" style="199" customWidth="1"/>
    <col min="7425" max="7425" width="21.140625" style="199" bestFit="1" customWidth="1"/>
    <col min="7426" max="7426" width="9.85546875" style="199" bestFit="1" customWidth="1"/>
    <col min="7427" max="7427" width="4.42578125" style="199" customWidth="1"/>
    <col min="7428" max="7428" width="20.140625" style="199" bestFit="1" customWidth="1"/>
    <col min="7429" max="7429" width="9.85546875" style="199" bestFit="1" customWidth="1"/>
    <col min="7430" max="7673" width="9.140625" style="199"/>
    <col min="7674" max="7674" width="13.7109375" style="199" customWidth="1"/>
    <col min="7675" max="7675" width="20.5703125" style="199" bestFit="1" customWidth="1"/>
    <col min="7676" max="7676" width="9.85546875" style="199" bestFit="1" customWidth="1"/>
    <col min="7677" max="7677" width="5.140625" style="199" customWidth="1"/>
    <col min="7678" max="7678" width="20.140625" style="199" bestFit="1" customWidth="1"/>
    <col min="7679" max="7679" width="9.85546875" style="199" bestFit="1" customWidth="1"/>
    <col min="7680" max="7680" width="4.28515625" style="199" customWidth="1"/>
    <col min="7681" max="7681" width="21.140625" style="199" bestFit="1" customWidth="1"/>
    <col min="7682" max="7682" width="9.85546875" style="199" bestFit="1" customWidth="1"/>
    <col min="7683" max="7683" width="4.42578125" style="199" customWidth="1"/>
    <col min="7684" max="7684" width="20.140625" style="199" bestFit="1" customWidth="1"/>
    <col min="7685" max="7685" width="9.85546875" style="199" bestFit="1" customWidth="1"/>
    <col min="7686" max="7929" width="9.140625" style="199"/>
    <col min="7930" max="7930" width="13.7109375" style="199" customWidth="1"/>
    <col min="7931" max="7931" width="20.5703125" style="199" bestFit="1" customWidth="1"/>
    <col min="7932" max="7932" width="9.85546875" style="199" bestFit="1" customWidth="1"/>
    <col min="7933" max="7933" width="5.140625" style="199" customWidth="1"/>
    <col min="7934" max="7934" width="20.140625" style="199" bestFit="1" customWidth="1"/>
    <col min="7935" max="7935" width="9.85546875" style="199" bestFit="1" customWidth="1"/>
    <col min="7936" max="7936" width="4.28515625" style="199" customWidth="1"/>
    <col min="7937" max="7937" width="21.140625" style="199" bestFit="1" customWidth="1"/>
    <col min="7938" max="7938" width="9.85546875" style="199" bestFit="1" customWidth="1"/>
    <col min="7939" max="7939" width="4.42578125" style="199" customWidth="1"/>
    <col min="7940" max="7940" width="20.140625" style="199" bestFit="1" customWidth="1"/>
    <col min="7941" max="7941" width="9.85546875" style="199" bestFit="1" customWidth="1"/>
    <col min="7942" max="8185" width="9.140625" style="199"/>
    <col min="8186" max="8186" width="13.7109375" style="199" customWidth="1"/>
    <col min="8187" max="8187" width="20.5703125" style="199" bestFit="1" customWidth="1"/>
    <col min="8188" max="8188" width="9.85546875" style="199" bestFit="1" customWidth="1"/>
    <col min="8189" max="8189" width="5.140625" style="199" customWidth="1"/>
    <col min="8190" max="8190" width="20.140625" style="199" bestFit="1" customWidth="1"/>
    <col min="8191" max="8191" width="9.85546875" style="199" bestFit="1" customWidth="1"/>
    <col min="8192" max="8192" width="4.28515625" style="199" customWidth="1"/>
    <col min="8193" max="8193" width="21.140625" style="199" bestFit="1" customWidth="1"/>
    <col min="8194" max="8194" width="9.85546875" style="199" bestFit="1" customWidth="1"/>
    <col min="8195" max="8195" width="4.42578125" style="199" customWidth="1"/>
    <col min="8196" max="8196" width="20.140625" style="199" bestFit="1" customWidth="1"/>
    <col min="8197" max="8197" width="9.85546875" style="199" bestFit="1" customWidth="1"/>
    <col min="8198" max="8441" width="9.140625" style="199"/>
    <col min="8442" max="8442" width="13.7109375" style="199" customWidth="1"/>
    <col min="8443" max="8443" width="20.5703125" style="199" bestFit="1" customWidth="1"/>
    <col min="8444" max="8444" width="9.85546875" style="199" bestFit="1" customWidth="1"/>
    <col min="8445" max="8445" width="5.140625" style="199" customWidth="1"/>
    <col min="8446" max="8446" width="20.140625" style="199" bestFit="1" customWidth="1"/>
    <col min="8447" max="8447" width="9.85546875" style="199" bestFit="1" customWidth="1"/>
    <col min="8448" max="8448" width="4.28515625" style="199" customWidth="1"/>
    <col min="8449" max="8449" width="21.140625" style="199" bestFit="1" customWidth="1"/>
    <col min="8450" max="8450" width="9.85546875" style="199" bestFit="1" customWidth="1"/>
    <col min="8451" max="8451" width="4.42578125" style="199" customWidth="1"/>
    <col min="8452" max="8452" width="20.140625" style="199" bestFit="1" customWidth="1"/>
    <col min="8453" max="8453" width="9.85546875" style="199" bestFit="1" customWidth="1"/>
    <col min="8454" max="8697" width="9.140625" style="199"/>
    <col min="8698" max="8698" width="13.7109375" style="199" customWidth="1"/>
    <col min="8699" max="8699" width="20.5703125" style="199" bestFit="1" customWidth="1"/>
    <col min="8700" max="8700" width="9.85546875" style="199" bestFit="1" customWidth="1"/>
    <col min="8701" max="8701" width="5.140625" style="199" customWidth="1"/>
    <col min="8702" max="8702" width="20.140625" style="199" bestFit="1" customWidth="1"/>
    <col min="8703" max="8703" width="9.85546875" style="199" bestFit="1" customWidth="1"/>
    <col min="8704" max="8704" width="4.28515625" style="199" customWidth="1"/>
    <col min="8705" max="8705" width="21.140625" style="199" bestFit="1" customWidth="1"/>
    <col min="8706" max="8706" width="9.85546875" style="199" bestFit="1" customWidth="1"/>
    <col min="8707" max="8707" width="4.42578125" style="199" customWidth="1"/>
    <col min="8708" max="8708" width="20.140625" style="199" bestFit="1" customWidth="1"/>
    <col min="8709" max="8709" width="9.85546875" style="199" bestFit="1" customWidth="1"/>
    <col min="8710" max="8953" width="9.140625" style="199"/>
    <col min="8954" max="8954" width="13.7109375" style="199" customWidth="1"/>
    <col min="8955" max="8955" width="20.5703125" style="199" bestFit="1" customWidth="1"/>
    <col min="8956" max="8956" width="9.85546875" style="199" bestFit="1" customWidth="1"/>
    <col min="8957" max="8957" width="5.140625" style="199" customWidth="1"/>
    <col min="8958" max="8958" width="20.140625" style="199" bestFit="1" customWidth="1"/>
    <col min="8959" max="8959" width="9.85546875" style="199" bestFit="1" customWidth="1"/>
    <col min="8960" max="8960" width="4.28515625" style="199" customWidth="1"/>
    <col min="8961" max="8961" width="21.140625" style="199" bestFit="1" customWidth="1"/>
    <col min="8962" max="8962" width="9.85546875" style="199" bestFit="1" customWidth="1"/>
    <col min="8963" max="8963" width="4.42578125" style="199" customWidth="1"/>
    <col min="8964" max="8964" width="20.140625" style="199" bestFit="1" customWidth="1"/>
    <col min="8965" max="8965" width="9.85546875" style="199" bestFit="1" customWidth="1"/>
    <col min="8966" max="9209" width="9.140625" style="199"/>
    <col min="9210" max="9210" width="13.7109375" style="199" customWidth="1"/>
    <col min="9211" max="9211" width="20.5703125" style="199" bestFit="1" customWidth="1"/>
    <col min="9212" max="9212" width="9.85546875" style="199" bestFit="1" customWidth="1"/>
    <col min="9213" max="9213" width="5.140625" style="199" customWidth="1"/>
    <col min="9214" max="9214" width="20.140625" style="199" bestFit="1" customWidth="1"/>
    <col min="9215" max="9215" width="9.85546875" style="199" bestFit="1" customWidth="1"/>
    <col min="9216" max="9216" width="4.28515625" style="199" customWidth="1"/>
    <col min="9217" max="9217" width="21.140625" style="199" bestFit="1" customWidth="1"/>
    <col min="9218" max="9218" width="9.85546875" style="199" bestFit="1" customWidth="1"/>
    <col min="9219" max="9219" width="4.42578125" style="199" customWidth="1"/>
    <col min="9220" max="9220" width="20.140625" style="199" bestFit="1" customWidth="1"/>
    <col min="9221" max="9221" width="9.85546875" style="199" bestFit="1" customWidth="1"/>
    <col min="9222" max="9465" width="9.140625" style="199"/>
    <col min="9466" max="9466" width="13.7109375" style="199" customWidth="1"/>
    <col min="9467" max="9467" width="20.5703125" style="199" bestFit="1" customWidth="1"/>
    <col min="9468" max="9468" width="9.85546875" style="199" bestFit="1" customWidth="1"/>
    <col min="9469" max="9469" width="5.140625" style="199" customWidth="1"/>
    <col min="9470" max="9470" width="20.140625" style="199" bestFit="1" customWidth="1"/>
    <col min="9471" max="9471" width="9.85546875" style="199" bestFit="1" customWidth="1"/>
    <col min="9472" max="9472" width="4.28515625" style="199" customWidth="1"/>
    <col min="9473" max="9473" width="21.140625" style="199" bestFit="1" customWidth="1"/>
    <col min="9474" max="9474" width="9.85546875" style="199" bestFit="1" customWidth="1"/>
    <col min="9475" max="9475" width="4.42578125" style="199" customWidth="1"/>
    <col min="9476" max="9476" width="20.140625" style="199" bestFit="1" customWidth="1"/>
    <col min="9477" max="9477" width="9.85546875" style="199" bestFit="1" customWidth="1"/>
    <col min="9478" max="9721" width="9.140625" style="199"/>
    <col min="9722" max="9722" width="13.7109375" style="199" customWidth="1"/>
    <col min="9723" max="9723" width="20.5703125" style="199" bestFit="1" customWidth="1"/>
    <col min="9724" max="9724" width="9.85546875" style="199" bestFit="1" customWidth="1"/>
    <col min="9725" max="9725" width="5.140625" style="199" customWidth="1"/>
    <col min="9726" max="9726" width="20.140625" style="199" bestFit="1" customWidth="1"/>
    <col min="9727" max="9727" width="9.85546875" style="199" bestFit="1" customWidth="1"/>
    <col min="9728" max="9728" width="4.28515625" style="199" customWidth="1"/>
    <col min="9729" max="9729" width="21.140625" style="199" bestFit="1" customWidth="1"/>
    <col min="9730" max="9730" width="9.85546875" style="199" bestFit="1" customWidth="1"/>
    <col min="9731" max="9731" width="4.42578125" style="199" customWidth="1"/>
    <col min="9732" max="9732" width="20.140625" style="199" bestFit="1" customWidth="1"/>
    <col min="9733" max="9733" width="9.85546875" style="199" bestFit="1" customWidth="1"/>
    <col min="9734" max="9977" width="9.140625" style="199"/>
    <col min="9978" max="9978" width="13.7109375" style="199" customWidth="1"/>
    <col min="9979" max="9979" width="20.5703125" style="199" bestFit="1" customWidth="1"/>
    <col min="9980" max="9980" width="9.85546875" style="199" bestFit="1" customWidth="1"/>
    <col min="9981" max="9981" width="5.140625" style="199" customWidth="1"/>
    <col min="9982" max="9982" width="20.140625" style="199" bestFit="1" customWidth="1"/>
    <col min="9983" max="9983" width="9.85546875" style="199" bestFit="1" customWidth="1"/>
    <col min="9984" max="9984" width="4.28515625" style="199" customWidth="1"/>
    <col min="9985" max="9985" width="21.140625" style="199" bestFit="1" customWidth="1"/>
    <col min="9986" max="9986" width="9.85546875" style="199" bestFit="1" customWidth="1"/>
    <col min="9987" max="9987" width="4.42578125" style="199" customWidth="1"/>
    <col min="9988" max="9988" width="20.140625" style="199" bestFit="1" customWidth="1"/>
    <col min="9989" max="9989" width="9.85546875" style="199" bestFit="1" customWidth="1"/>
    <col min="9990" max="10233" width="9.140625" style="199"/>
    <col min="10234" max="10234" width="13.7109375" style="199" customWidth="1"/>
    <col min="10235" max="10235" width="20.5703125" style="199" bestFit="1" customWidth="1"/>
    <col min="10236" max="10236" width="9.85546875" style="199" bestFit="1" customWidth="1"/>
    <col min="10237" max="10237" width="5.140625" style="199" customWidth="1"/>
    <col min="10238" max="10238" width="20.140625" style="199" bestFit="1" customWidth="1"/>
    <col min="10239" max="10239" width="9.85546875" style="199" bestFit="1" customWidth="1"/>
    <col min="10240" max="10240" width="4.28515625" style="199" customWidth="1"/>
    <col min="10241" max="10241" width="21.140625" style="199" bestFit="1" customWidth="1"/>
    <col min="10242" max="10242" width="9.85546875" style="199" bestFit="1" customWidth="1"/>
    <col min="10243" max="10243" width="4.42578125" style="199" customWidth="1"/>
    <col min="10244" max="10244" width="20.140625" style="199" bestFit="1" customWidth="1"/>
    <col min="10245" max="10245" width="9.85546875" style="199" bestFit="1" customWidth="1"/>
    <col min="10246" max="10489" width="9.140625" style="199"/>
    <col min="10490" max="10490" width="13.7109375" style="199" customWidth="1"/>
    <col min="10491" max="10491" width="20.5703125" style="199" bestFit="1" customWidth="1"/>
    <col min="10492" max="10492" width="9.85546875" style="199" bestFit="1" customWidth="1"/>
    <col min="10493" max="10493" width="5.140625" style="199" customWidth="1"/>
    <col min="10494" max="10494" width="20.140625" style="199" bestFit="1" customWidth="1"/>
    <col min="10495" max="10495" width="9.85546875" style="199" bestFit="1" customWidth="1"/>
    <col min="10496" max="10496" width="4.28515625" style="199" customWidth="1"/>
    <col min="10497" max="10497" width="21.140625" style="199" bestFit="1" customWidth="1"/>
    <col min="10498" max="10498" width="9.85546875" style="199" bestFit="1" customWidth="1"/>
    <col min="10499" max="10499" width="4.42578125" style="199" customWidth="1"/>
    <col min="10500" max="10500" width="20.140625" style="199" bestFit="1" customWidth="1"/>
    <col min="10501" max="10501" width="9.85546875" style="199" bestFit="1" customWidth="1"/>
    <col min="10502" max="10745" width="9.140625" style="199"/>
    <col min="10746" max="10746" width="13.7109375" style="199" customWidth="1"/>
    <col min="10747" max="10747" width="20.5703125" style="199" bestFit="1" customWidth="1"/>
    <col min="10748" max="10748" width="9.85546875" style="199" bestFit="1" customWidth="1"/>
    <col min="10749" max="10749" width="5.140625" style="199" customWidth="1"/>
    <col min="10750" max="10750" width="20.140625" style="199" bestFit="1" customWidth="1"/>
    <col min="10751" max="10751" width="9.85546875" style="199" bestFit="1" customWidth="1"/>
    <col min="10752" max="10752" width="4.28515625" style="199" customWidth="1"/>
    <col min="10753" max="10753" width="21.140625" style="199" bestFit="1" customWidth="1"/>
    <col min="10754" max="10754" width="9.85546875" style="199" bestFit="1" customWidth="1"/>
    <col min="10755" max="10755" width="4.42578125" style="199" customWidth="1"/>
    <col min="10756" max="10756" width="20.140625" style="199" bestFit="1" customWidth="1"/>
    <col min="10757" max="10757" width="9.85546875" style="199" bestFit="1" customWidth="1"/>
    <col min="10758" max="11001" width="9.140625" style="199"/>
    <col min="11002" max="11002" width="13.7109375" style="199" customWidth="1"/>
    <col min="11003" max="11003" width="20.5703125" style="199" bestFit="1" customWidth="1"/>
    <col min="11004" max="11004" width="9.85546875" style="199" bestFit="1" customWidth="1"/>
    <col min="11005" max="11005" width="5.140625" style="199" customWidth="1"/>
    <col min="11006" max="11006" width="20.140625" style="199" bestFit="1" customWidth="1"/>
    <col min="11007" max="11007" width="9.85546875" style="199" bestFit="1" customWidth="1"/>
    <col min="11008" max="11008" width="4.28515625" style="199" customWidth="1"/>
    <col min="11009" max="11009" width="21.140625" style="199" bestFit="1" customWidth="1"/>
    <col min="11010" max="11010" width="9.85546875" style="199" bestFit="1" customWidth="1"/>
    <col min="11011" max="11011" width="4.42578125" style="199" customWidth="1"/>
    <col min="11012" max="11012" width="20.140625" style="199" bestFit="1" customWidth="1"/>
    <col min="11013" max="11013" width="9.85546875" style="199" bestFit="1" customWidth="1"/>
    <col min="11014" max="11257" width="9.140625" style="199"/>
    <col min="11258" max="11258" width="13.7109375" style="199" customWidth="1"/>
    <col min="11259" max="11259" width="20.5703125" style="199" bestFit="1" customWidth="1"/>
    <col min="11260" max="11260" width="9.85546875" style="199" bestFit="1" customWidth="1"/>
    <col min="11261" max="11261" width="5.140625" style="199" customWidth="1"/>
    <col min="11262" max="11262" width="20.140625" style="199" bestFit="1" customWidth="1"/>
    <col min="11263" max="11263" width="9.85546875" style="199" bestFit="1" customWidth="1"/>
    <col min="11264" max="11264" width="4.28515625" style="199" customWidth="1"/>
    <col min="11265" max="11265" width="21.140625" style="199" bestFit="1" customWidth="1"/>
    <col min="11266" max="11266" width="9.85546875" style="199" bestFit="1" customWidth="1"/>
    <col min="11267" max="11267" width="4.42578125" style="199" customWidth="1"/>
    <col min="11268" max="11268" width="20.140625" style="199" bestFit="1" customWidth="1"/>
    <col min="11269" max="11269" width="9.85546875" style="199" bestFit="1" customWidth="1"/>
    <col min="11270" max="11513" width="9.140625" style="199"/>
    <col min="11514" max="11514" width="13.7109375" style="199" customWidth="1"/>
    <col min="11515" max="11515" width="20.5703125" style="199" bestFit="1" customWidth="1"/>
    <col min="11516" max="11516" width="9.85546875" style="199" bestFit="1" customWidth="1"/>
    <col min="11517" max="11517" width="5.140625" style="199" customWidth="1"/>
    <col min="11518" max="11518" width="20.140625" style="199" bestFit="1" customWidth="1"/>
    <col min="11519" max="11519" width="9.85546875" style="199" bestFit="1" customWidth="1"/>
    <col min="11520" max="11520" width="4.28515625" style="199" customWidth="1"/>
    <col min="11521" max="11521" width="21.140625" style="199" bestFit="1" customWidth="1"/>
    <col min="11522" max="11522" width="9.85546875" style="199" bestFit="1" customWidth="1"/>
    <col min="11523" max="11523" width="4.42578125" style="199" customWidth="1"/>
    <col min="11524" max="11524" width="20.140625" style="199" bestFit="1" customWidth="1"/>
    <col min="11525" max="11525" width="9.85546875" style="199" bestFit="1" customWidth="1"/>
    <col min="11526" max="11769" width="9.140625" style="199"/>
    <col min="11770" max="11770" width="13.7109375" style="199" customWidth="1"/>
    <col min="11771" max="11771" width="20.5703125" style="199" bestFit="1" customWidth="1"/>
    <col min="11772" max="11772" width="9.85546875" style="199" bestFit="1" customWidth="1"/>
    <col min="11773" max="11773" width="5.140625" style="199" customWidth="1"/>
    <col min="11774" max="11774" width="20.140625" style="199" bestFit="1" customWidth="1"/>
    <col min="11775" max="11775" width="9.85546875" style="199" bestFit="1" customWidth="1"/>
    <col min="11776" max="11776" width="4.28515625" style="199" customWidth="1"/>
    <col min="11777" max="11777" width="21.140625" style="199" bestFit="1" customWidth="1"/>
    <col min="11778" max="11778" width="9.85546875" style="199" bestFit="1" customWidth="1"/>
    <col min="11779" max="11779" width="4.42578125" style="199" customWidth="1"/>
    <col min="11780" max="11780" width="20.140625" style="199" bestFit="1" customWidth="1"/>
    <col min="11781" max="11781" width="9.85546875" style="199" bestFit="1" customWidth="1"/>
    <col min="11782" max="12025" width="9.140625" style="199"/>
    <col min="12026" max="12026" width="13.7109375" style="199" customWidth="1"/>
    <col min="12027" max="12027" width="20.5703125" style="199" bestFit="1" customWidth="1"/>
    <col min="12028" max="12028" width="9.85546875" style="199" bestFit="1" customWidth="1"/>
    <col min="12029" max="12029" width="5.140625" style="199" customWidth="1"/>
    <col min="12030" max="12030" width="20.140625" style="199" bestFit="1" customWidth="1"/>
    <col min="12031" max="12031" width="9.85546875" style="199" bestFit="1" customWidth="1"/>
    <col min="12032" max="12032" width="4.28515625" style="199" customWidth="1"/>
    <col min="12033" max="12033" width="21.140625" style="199" bestFit="1" customWidth="1"/>
    <col min="12034" max="12034" width="9.85546875" style="199" bestFit="1" customWidth="1"/>
    <col min="12035" max="12035" width="4.42578125" style="199" customWidth="1"/>
    <col min="12036" max="12036" width="20.140625" style="199" bestFit="1" customWidth="1"/>
    <col min="12037" max="12037" width="9.85546875" style="199" bestFit="1" customWidth="1"/>
    <col min="12038" max="12281" width="9.140625" style="199"/>
    <col min="12282" max="12282" width="13.7109375" style="199" customWidth="1"/>
    <col min="12283" max="12283" width="20.5703125" style="199" bestFit="1" customWidth="1"/>
    <col min="12284" max="12284" width="9.85546875" style="199" bestFit="1" customWidth="1"/>
    <col min="12285" max="12285" width="5.140625" style="199" customWidth="1"/>
    <col min="12286" max="12286" width="20.140625" style="199" bestFit="1" customWidth="1"/>
    <col min="12287" max="12287" width="9.85546875" style="199" bestFit="1" customWidth="1"/>
    <col min="12288" max="12288" width="4.28515625" style="199" customWidth="1"/>
    <col min="12289" max="12289" width="21.140625" style="199" bestFit="1" customWidth="1"/>
    <col min="12290" max="12290" width="9.85546875" style="199" bestFit="1" customWidth="1"/>
    <col min="12291" max="12291" width="4.42578125" style="199" customWidth="1"/>
    <col min="12292" max="12292" width="20.140625" style="199" bestFit="1" customWidth="1"/>
    <col min="12293" max="12293" width="9.85546875" style="199" bestFit="1" customWidth="1"/>
    <col min="12294" max="12537" width="9.140625" style="199"/>
    <col min="12538" max="12538" width="13.7109375" style="199" customWidth="1"/>
    <col min="12539" max="12539" width="20.5703125" style="199" bestFit="1" customWidth="1"/>
    <col min="12540" max="12540" width="9.85546875" style="199" bestFit="1" customWidth="1"/>
    <col min="12541" max="12541" width="5.140625" style="199" customWidth="1"/>
    <col min="12542" max="12542" width="20.140625" style="199" bestFit="1" customWidth="1"/>
    <col min="12543" max="12543" width="9.85546875" style="199" bestFit="1" customWidth="1"/>
    <col min="12544" max="12544" width="4.28515625" style="199" customWidth="1"/>
    <col min="12545" max="12545" width="21.140625" style="199" bestFit="1" customWidth="1"/>
    <col min="12546" max="12546" width="9.85546875" style="199" bestFit="1" customWidth="1"/>
    <col min="12547" max="12547" width="4.42578125" style="199" customWidth="1"/>
    <col min="12548" max="12548" width="20.140625" style="199" bestFit="1" customWidth="1"/>
    <col min="12549" max="12549" width="9.85546875" style="199" bestFit="1" customWidth="1"/>
    <col min="12550" max="12793" width="9.140625" style="199"/>
    <col min="12794" max="12794" width="13.7109375" style="199" customWidth="1"/>
    <col min="12795" max="12795" width="20.5703125" style="199" bestFit="1" customWidth="1"/>
    <col min="12796" max="12796" width="9.85546875" style="199" bestFit="1" customWidth="1"/>
    <col min="12797" max="12797" width="5.140625" style="199" customWidth="1"/>
    <col min="12798" max="12798" width="20.140625" style="199" bestFit="1" customWidth="1"/>
    <col min="12799" max="12799" width="9.85546875" style="199" bestFit="1" customWidth="1"/>
    <col min="12800" max="12800" width="4.28515625" style="199" customWidth="1"/>
    <col min="12801" max="12801" width="21.140625" style="199" bestFit="1" customWidth="1"/>
    <col min="12802" max="12802" width="9.85546875" style="199" bestFit="1" customWidth="1"/>
    <col min="12803" max="12803" width="4.42578125" style="199" customWidth="1"/>
    <col min="12804" max="12804" width="20.140625" style="199" bestFit="1" customWidth="1"/>
    <col min="12805" max="12805" width="9.85546875" style="199" bestFit="1" customWidth="1"/>
    <col min="12806" max="13049" width="9.140625" style="199"/>
    <col min="13050" max="13050" width="13.7109375" style="199" customWidth="1"/>
    <col min="13051" max="13051" width="20.5703125" style="199" bestFit="1" customWidth="1"/>
    <col min="13052" max="13052" width="9.85546875" style="199" bestFit="1" customWidth="1"/>
    <col min="13053" max="13053" width="5.140625" style="199" customWidth="1"/>
    <col min="13054" max="13054" width="20.140625" style="199" bestFit="1" customWidth="1"/>
    <col min="13055" max="13055" width="9.85546875" style="199" bestFit="1" customWidth="1"/>
    <col min="13056" max="13056" width="4.28515625" style="199" customWidth="1"/>
    <col min="13057" max="13057" width="21.140625" style="199" bestFit="1" customWidth="1"/>
    <col min="13058" max="13058" width="9.85546875" style="199" bestFit="1" customWidth="1"/>
    <col min="13059" max="13059" width="4.42578125" style="199" customWidth="1"/>
    <col min="13060" max="13060" width="20.140625" style="199" bestFit="1" customWidth="1"/>
    <col min="13061" max="13061" width="9.85546875" style="199" bestFit="1" customWidth="1"/>
    <col min="13062" max="13305" width="9.140625" style="199"/>
    <col min="13306" max="13306" width="13.7109375" style="199" customWidth="1"/>
    <col min="13307" max="13307" width="20.5703125" style="199" bestFit="1" customWidth="1"/>
    <col min="13308" max="13308" width="9.85546875" style="199" bestFit="1" customWidth="1"/>
    <col min="13309" max="13309" width="5.140625" style="199" customWidth="1"/>
    <col min="13310" max="13310" width="20.140625" style="199" bestFit="1" customWidth="1"/>
    <col min="13311" max="13311" width="9.85546875" style="199" bestFit="1" customWidth="1"/>
    <col min="13312" max="13312" width="4.28515625" style="199" customWidth="1"/>
    <col min="13313" max="13313" width="21.140625" style="199" bestFit="1" customWidth="1"/>
    <col min="13314" max="13314" width="9.85546875" style="199" bestFit="1" customWidth="1"/>
    <col min="13315" max="13315" width="4.42578125" style="199" customWidth="1"/>
    <col min="13316" max="13316" width="20.140625" style="199" bestFit="1" customWidth="1"/>
    <col min="13317" max="13317" width="9.85546875" style="199" bestFit="1" customWidth="1"/>
    <col min="13318" max="13561" width="9.140625" style="199"/>
    <col min="13562" max="13562" width="13.7109375" style="199" customWidth="1"/>
    <col min="13563" max="13563" width="20.5703125" style="199" bestFit="1" customWidth="1"/>
    <col min="13564" max="13564" width="9.85546875" style="199" bestFit="1" customWidth="1"/>
    <col min="13565" max="13565" width="5.140625" style="199" customWidth="1"/>
    <col min="13566" max="13566" width="20.140625" style="199" bestFit="1" customWidth="1"/>
    <col min="13567" max="13567" width="9.85546875" style="199" bestFit="1" customWidth="1"/>
    <col min="13568" max="13568" width="4.28515625" style="199" customWidth="1"/>
    <col min="13569" max="13569" width="21.140625" style="199" bestFit="1" customWidth="1"/>
    <col min="13570" max="13570" width="9.85546875" style="199" bestFit="1" customWidth="1"/>
    <col min="13571" max="13571" width="4.42578125" style="199" customWidth="1"/>
    <col min="13572" max="13572" width="20.140625" style="199" bestFit="1" customWidth="1"/>
    <col min="13573" max="13573" width="9.85546875" style="199" bestFit="1" customWidth="1"/>
    <col min="13574" max="13817" width="9.140625" style="199"/>
    <col min="13818" max="13818" width="13.7109375" style="199" customWidth="1"/>
    <col min="13819" max="13819" width="20.5703125" style="199" bestFit="1" customWidth="1"/>
    <col min="13820" max="13820" width="9.85546875" style="199" bestFit="1" customWidth="1"/>
    <col min="13821" max="13821" width="5.140625" style="199" customWidth="1"/>
    <col min="13822" max="13822" width="20.140625" style="199" bestFit="1" customWidth="1"/>
    <col min="13823" max="13823" width="9.85546875" style="199" bestFit="1" customWidth="1"/>
    <col min="13824" max="13824" width="4.28515625" style="199" customWidth="1"/>
    <col min="13825" max="13825" width="21.140625" style="199" bestFit="1" customWidth="1"/>
    <col min="13826" max="13826" width="9.85546875" style="199" bestFit="1" customWidth="1"/>
    <col min="13827" max="13827" width="4.42578125" style="199" customWidth="1"/>
    <col min="13828" max="13828" width="20.140625" style="199" bestFit="1" customWidth="1"/>
    <col min="13829" max="13829" width="9.85546875" style="199" bestFit="1" customWidth="1"/>
    <col min="13830" max="14073" width="9.140625" style="199"/>
    <col min="14074" max="14074" width="13.7109375" style="199" customWidth="1"/>
    <col min="14075" max="14075" width="20.5703125" style="199" bestFit="1" customWidth="1"/>
    <col min="14076" max="14076" width="9.85546875" style="199" bestFit="1" customWidth="1"/>
    <col min="14077" max="14077" width="5.140625" style="199" customWidth="1"/>
    <col min="14078" max="14078" width="20.140625" style="199" bestFit="1" customWidth="1"/>
    <col min="14079" max="14079" width="9.85546875" style="199" bestFit="1" customWidth="1"/>
    <col min="14080" max="14080" width="4.28515625" style="199" customWidth="1"/>
    <col min="14081" max="14081" width="21.140625" style="199" bestFit="1" customWidth="1"/>
    <col min="14082" max="14082" width="9.85546875" style="199" bestFit="1" customWidth="1"/>
    <col min="14083" max="14083" width="4.42578125" style="199" customWidth="1"/>
    <col min="14084" max="14084" width="20.140625" style="199" bestFit="1" customWidth="1"/>
    <col min="14085" max="14085" width="9.85546875" style="199" bestFit="1" customWidth="1"/>
    <col min="14086" max="14329" width="9.140625" style="199"/>
    <col min="14330" max="14330" width="13.7109375" style="199" customWidth="1"/>
    <col min="14331" max="14331" width="20.5703125" style="199" bestFit="1" customWidth="1"/>
    <col min="14332" max="14332" width="9.85546875" style="199" bestFit="1" customWidth="1"/>
    <col min="14333" max="14333" width="5.140625" style="199" customWidth="1"/>
    <col min="14334" max="14334" width="20.140625" style="199" bestFit="1" customWidth="1"/>
    <col min="14335" max="14335" width="9.85546875" style="199" bestFit="1" customWidth="1"/>
    <col min="14336" max="14336" width="4.28515625" style="199" customWidth="1"/>
    <col min="14337" max="14337" width="21.140625" style="199" bestFit="1" customWidth="1"/>
    <col min="14338" max="14338" width="9.85546875" style="199" bestFit="1" customWidth="1"/>
    <col min="14339" max="14339" width="4.42578125" style="199" customWidth="1"/>
    <col min="14340" max="14340" width="20.140625" style="199" bestFit="1" customWidth="1"/>
    <col min="14341" max="14341" width="9.85546875" style="199" bestFit="1" customWidth="1"/>
    <col min="14342" max="14585" width="9.140625" style="199"/>
    <col min="14586" max="14586" width="13.7109375" style="199" customWidth="1"/>
    <col min="14587" max="14587" width="20.5703125" style="199" bestFit="1" customWidth="1"/>
    <col min="14588" max="14588" width="9.85546875" style="199" bestFit="1" customWidth="1"/>
    <col min="14589" max="14589" width="5.140625" style="199" customWidth="1"/>
    <col min="14590" max="14590" width="20.140625" style="199" bestFit="1" customWidth="1"/>
    <col min="14591" max="14591" width="9.85546875" style="199" bestFit="1" customWidth="1"/>
    <col min="14592" max="14592" width="4.28515625" style="199" customWidth="1"/>
    <col min="14593" max="14593" width="21.140625" style="199" bestFit="1" customWidth="1"/>
    <col min="14594" max="14594" width="9.85546875" style="199" bestFit="1" customWidth="1"/>
    <col min="14595" max="14595" width="4.42578125" style="199" customWidth="1"/>
    <col min="14596" max="14596" width="20.140625" style="199" bestFit="1" customWidth="1"/>
    <col min="14597" max="14597" width="9.85546875" style="199" bestFit="1" customWidth="1"/>
    <col min="14598" max="14841" width="9.140625" style="199"/>
    <col min="14842" max="14842" width="13.7109375" style="199" customWidth="1"/>
    <col min="14843" max="14843" width="20.5703125" style="199" bestFit="1" customWidth="1"/>
    <col min="14844" max="14844" width="9.85546875" style="199" bestFit="1" customWidth="1"/>
    <col min="14845" max="14845" width="5.140625" style="199" customWidth="1"/>
    <col min="14846" max="14846" width="20.140625" style="199" bestFit="1" customWidth="1"/>
    <col min="14847" max="14847" width="9.85546875" style="199" bestFit="1" customWidth="1"/>
    <col min="14848" max="14848" width="4.28515625" style="199" customWidth="1"/>
    <col min="14849" max="14849" width="21.140625" style="199" bestFit="1" customWidth="1"/>
    <col min="14850" max="14850" width="9.85546875" style="199" bestFit="1" customWidth="1"/>
    <col min="14851" max="14851" width="4.42578125" style="199" customWidth="1"/>
    <col min="14852" max="14852" width="20.140625" style="199" bestFit="1" customWidth="1"/>
    <col min="14853" max="14853" width="9.85546875" style="199" bestFit="1" customWidth="1"/>
    <col min="14854" max="15097" width="9.140625" style="199"/>
    <col min="15098" max="15098" width="13.7109375" style="199" customWidth="1"/>
    <col min="15099" max="15099" width="20.5703125" style="199" bestFit="1" customWidth="1"/>
    <col min="15100" max="15100" width="9.85546875" style="199" bestFit="1" customWidth="1"/>
    <col min="15101" max="15101" width="5.140625" style="199" customWidth="1"/>
    <col min="15102" max="15102" width="20.140625" style="199" bestFit="1" customWidth="1"/>
    <col min="15103" max="15103" width="9.85546875" style="199" bestFit="1" customWidth="1"/>
    <col min="15104" max="15104" width="4.28515625" style="199" customWidth="1"/>
    <col min="15105" max="15105" width="21.140625" style="199" bestFit="1" customWidth="1"/>
    <col min="15106" max="15106" width="9.85546875" style="199" bestFit="1" customWidth="1"/>
    <col min="15107" max="15107" width="4.42578125" style="199" customWidth="1"/>
    <col min="15108" max="15108" width="20.140625" style="199" bestFit="1" customWidth="1"/>
    <col min="15109" max="15109" width="9.85546875" style="199" bestFit="1" customWidth="1"/>
    <col min="15110" max="15353" width="9.140625" style="199"/>
    <col min="15354" max="15354" width="13.7109375" style="199" customWidth="1"/>
    <col min="15355" max="15355" width="20.5703125" style="199" bestFit="1" customWidth="1"/>
    <col min="15356" max="15356" width="9.85546875" style="199" bestFit="1" customWidth="1"/>
    <col min="15357" max="15357" width="5.140625" style="199" customWidth="1"/>
    <col min="15358" max="15358" width="20.140625" style="199" bestFit="1" customWidth="1"/>
    <col min="15359" max="15359" width="9.85546875" style="199" bestFit="1" customWidth="1"/>
    <col min="15360" max="15360" width="4.28515625" style="199" customWidth="1"/>
    <col min="15361" max="15361" width="21.140625" style="199" bestFit="1" customWidth="1"/>
    <col min="15362" max="15362" width="9.85546875" style="199" bestFit="1" customWidth="1"/>
    <col min="15363" max="15363" width="4.42578125" style="199" customWidth="1"/>
    <col min="15364" max="15364" width="20.140625" style="199" bestFit="1" customWidth="1"/>
    <col min="15365" max="15365" width="9.85546875" style="199" bestFit="1" customWidth="1"/>
    <col min="15366" max="15609" width="9.140625" style="199"/>
    <col min="15610" max="15610" width="13.7109375" style="199" customWidth="1"/>
    <col min="15611" max="15611" width="20.5703125" style="199" bestFit="1" customWidth="1"/>
    <col min="15612" max="15612" width="9.85546875" style="199" bestFit="1" customWidth="1"/>
    <col min="15613" max="15613" width="5.140625" style="199" customWidth="1"/>
    <col min="15614" max="15614" width="20.140625" style="199" bestFit="1" customWidth="1"/>
    <col min="15615" max="15615" width="9.85546875" style="199" bestFit="1" customWidth="1"/>
    <col min="15616" max="15616" width="4.28515625" style="199" customWidth="1"/>
    <col min="15617" max="15617" width="21.140625" style="199" bestFit="1" customWidth="1"/>
    <col min="15618" max="15618" width="9.85546875" style="199" bestFit="1" customWidth="1"/>
    <col min="15619" max="15619" width="4.42578125" style="199" customWidth="1"/>
    <col min="15620" max="15620" width="20.140625" style="199" bestFit="1" customWidth="1"/>
    <col min="15621" max="15621" width="9.85546875" style="199" bestFit="1" customWidth="1"/>
    <col min="15622" max="15865" width="9.140625" style="199"/>
    <col min="15866" max="15866" width="13.7109375" style="199" customWidth="1"/>
    <col min="15867" max="15867" width="20.5703125" style="199" bestFit="1" customWidth="1"/>
    <col min="15868" max="15868" width="9.85546875" style="199" bestFit="1" customWidth="1"/>
    <col min="15869" max="15869" width="5.140625" style="199" customWidth="1"/>
    <col min="15870" max="15870" width="20.140625" style="199" bestFit="1" customWidth="1"/>
    <col min="15871" max="15871" width="9.85546875" style="199" bestFit="1" customWidth="1"/>
    <col min="15872" max="15872" width="4.28515625" style="199" customWidth="1"/>
    <col min="15873" max="15873" width="21.140625" style="199" bestFit="1" customWidth="1"/>
    <col min="15874" max="15874" width="9.85546875" style="199" bestFit="1" customWidth="1"/>
    <col min="15875" max="15875" width="4.42578125" style="199" customWidth="1"/>
    <col min="15876" max="15876" width="20.140625" style="199" bestFit="1" customWidth="1"/>
    <col min="15877" max="15877" width="9.85546875" style="199" bestFit="1" customWidth="1"/>
    <col min="15878" max="16121" width="9.140625" style="199"/>
    <col min="16122" max="16122" width="13.7109375" style="199" customWidth="1"/>
    <col min="16123" max="16123" width="20.5703125" style="199" bestFit="1" customWidth="1"/>
    <col min="16124" max="16124" width="9.85546875" style="199" bestFit="1" customWidth="1"/>
    <col min="16125" max="16125" width="5.140625" style="199" customWidth="1"/>
    <col min="16126" max="16126" width="20.140625" style="199" bestFit="1" customWidth="1"/>
    <col min="16127" max="16127" width="9.85546875" style="199" bestFit="1" customWidth="1"/>
    <col min="16128" max="16128" width="4.28515625" style="199" customWidth="1"/>
    <col min="16129" max="16129" width="21.140625" style="199" bestFit="1" customWidth="1"/>
    <col min="16130" max="16130" width="9.85546875" style="199" bestFit="1" customWidth="1"/>
    <col min="16131" max="16131" width="4.42578125" style="199" customWidth="1"/>
    <col min="16132" max="16132" width="20.140625" style="199" bestFit="1" customWidth="1"/>
    <col min="16133" max="16133" width="9.85546875" style="199" bestFit="1" customWidth="1"/>
    <col min="16134" max="16384" width="9.140625" style="199"/>
  </cols>
  <sheetData>
    <row r="1" spans="1:18" s="185" customFormat="1" ht="19.5" customHeight="1" x14ac:dyDescent="0.35">
      <c r="A1" s="458" t="s">
        <v>284</v>
      </c>
      <c r="B1" s="458"/>
      <c r="C1" s="458"/>
      <c r="D1" s="458"/>
      <c r="E1" s="458"/>
      <c r="F1" s="458"/>
      <c r="G1" s="458"/>
      <c r="H1" s="458"/>
      <c r="I1" s="458"/>
      <c r="J1" s="458"/>
    </row>
    <row r="2" spans="1:18" s="185" customFormat="1" ht="19.5" customHeight="1" x14ac:dyDescent="0.35">
      <c r="A2" s="457" t="s">
        <v>2</v>
      </c>
      <c r="B2" s="459"/>
      <c r="C2" s="424"/>
      <c r="D2" s="424"/>
      <c r="E2" s="424"/>
      <c r="F2" s="424"/>
      <c r="G2" s="424"/>
      <c r="H2" s="424"/>
      <c r="I2" s="424"/>
      <c r="J2" s="424"/>
    </row>
    <row r="3" spans="1:18" s="185" customFormat="1" ht="19.5" customHeight="1" x14ac:dyDescent="0.35">
      <c r="A3" s="460" t="s">
        <v>358</v>
      </c>
      <c r="B3" s="460"/>
      <c r="C3" s="460"/>
      <c r="D3" s="460"/>
      <c r="E3" s="460"/>
      <c r="F3" s="460"/>
      <c r="G3" s="460"/>
      <c r="H3" s="460"/>
      <c r="I3" s="460"/>
      <c r="J3" s="460"/>
    </row>
    <row r="4" spans="1:18" s="185" customFormat="1" ht="19.5" customHeight="1" x14ac:dyDescent="0.35">
      <c r="A4" s="458" t="s">
        <v>395</v>
      </c>
      <c r="B4" s="458"/>
      <c r="C4" s="458"/>
      <c r="D4" s="458"/>
      <c r="E4" s="458"/>
      <c r="F4" s="458"/>
      <c r="G4" s="458"/>
      <c r="H4" s="458"/>
      <c r="I4" s="458"/>
      <c r="J4" s="458"/>
    </row>
    <row r="5" spans="1:18" s="185" customFormat="1" ht="18.75" x14ac:dyDescent="0.3">
      <c r="A5" s="186"/>
      <c r="B5" s="186"/>
      <c r="C5" s="186"/>
      <c r="D5" s="186"/>
      <c r="E5" s="186"/>
      <c r="F5" s="186"/>
      <c r="G5" s="186"/>
      <c r="H5" s="186"/>
      <c r="I5" s="186"/>
      <c r="J5" s="186"/>
    </row>
    <row r="6" spans="1:18" s="187" customFormat="1" ht="25.5" customHeight="1" x14ac:dyDescent="0.3">
      <c r="B6" s="427" t="s">
        <v>285</v>
      </c>
      <c r="C6" s="427" t="s">
        <v>286</v>
      </c>
      <c r="D6" s="427" t="s">
        <v>287</v>
      </c>
      <c r="E6" s="427" t="s">
        <v>288</v>
      </c>
      <c r="F6" s="427" t="s">
        <v>289</v>
      </c>
      <c r="G6" s="427" t="s">
        <v>290</v>
      </c>
      <c r="H6" s="427" t="s">
        <v>291</v>
      </c>
      <c r="I6" s="427" t="s">
        <v>292</v>
      </c>
      <c r="J6" s="427" t="s">
        <v>355</v>
      </c>
    </row>
    <row r="7" spans="1:18" s="188" customFormat="1" ht="15" x14ac:dyDescent="0.3">
      <c r="A7" s="188" t="s">
        <v>293</v>
      </c>
      <c r="B7" s="428">
        <f>5174688.04+980159.25+136544.36+999832572.03+6980872993.98+111505390.93+12848943.9+1244047.81</f>
        <v>8112595340.3000002</v>
      </c>
      <c r="C7" s="428">
        <f>14685698.67+1628290.34+594825.68+87798.73+785985959.95+6549350753.32+119618261.59+173781269.33+42500+6521.27+11831652.1+2527839.27</f>
        <v>7660141370.250001</v>
      </c>
      <c r="D7" s="428">
        <f>884.04-884.04+5849.97+274250.81+2354.49+1442619.74+396002.15+99666.02-9312365.38+752914.99-3305101.33-3653022.57+523577.93+1097448.7+761064.82+57787416.37+34261601.58+5294363.16+1323786.97+472543.77-3232401.53+29065261.8-4556114.68-637923.34+2156485.13-178243.83-1002707.93+1453894.19+6809186.16-143101.86-169207.12-91656125.93+1645987166.79-52724131.27-14907.91+9186570.92+26456664.6+6079778.52+99100340.44+5873842473.18+2982428.55+552565.35-1080547.71-24155105.8-23835819.23-14479644.42-138338.96+562537.38+1329904.75+98042.86+302653.14+803965.81+660420.8+19314.36+620930.02+802145.55+553537.48+1275529.28+1913767.91+9203219.79+47487102.39+30807059.46+559742.55+1399567.09+9282934.14+1769112.92+18775889.6+625200.69+60863.65+656038.44+100790.03+1255552.34+9632897.72+744978.06+37605538.22+7082.55+50070685.5+1958.55+470260.19+6561+1338636.19+1557756.9</f>
        <v>7806255643.6100016</v>
      </c>
      <c r="E7" s="428">
        <v>7719668478.1800003</v>
      </c>
      <c r="F7" s="428">
        <v>8432717180</v>
      </c>
      <c r="G7" s="428">
        <v>8751738201</v>
      </c>
      <c r="H7" s="428">
        <f>9055206456</f>
        <v>9055206456</v>
      </c>
      <c r="I7" s="428">
        <f>9021797255</f>
        <v>9021797255</v>
      </c>
      <c r="J7" s="428">
        <v>9264489981</v>
      </c>
      <c r="K7" s="191"/>
    </row>
    <row r="8" spans="1:18" s="188" customFormat="1" ht="17.25" x14ac:dyDescent="0.3">
      <c r="A8" s="188" t="s">
        <v>294</v>
      </c>
      <c r="B8" s="428">
        <f>2318507905.25</f>
        <v>2318507905.25</v>
      </c>
      <c r="C8" s="428">
        <f>2465689313.14</f>
        <v>2465689313.1399999</v>
      </c>
      <c r="D8" s="428">
        <f>3026960878.7</f>
        <v>3026960878.6999998</v>
      </c>
      <c r="E8" s="428">
        <v>3517694236.7600002</v>
      </c>
      <c r="F8" s="428">
        <v>3403784494.8699999</v>
      </c>
      <c r="G8" s="428">
        <v>3557689464.0100002</v>
      </c>
      <c r="H8" s="428">
        <f>3492782813.31</f>
        <v>3492782813.3099999</v>
      </c>
      <c r="I8" s="428">
        <f>3515055562</f>
        <v>3515055562</v>
      </c>
      <c r="J8" s="428">
        <v>3654214482</v>
      </c>
      <c r="K8" s="191"/>
    </row>
    <row r="9" spans="1:18" s="188" customFormat="1" ht="17.25" x14ac:dyDescent="0.3">
      <c r="A9" s="188" t="s">
        <v>295</v>
      </c>
      <c r="B9" s="428">
        <f>B11-B7-B8-B10</f>
        <v>2408696564.5300002</v>
      </c>
      <c r="C9" s="428">
        <f>C11-C7-C8-C10</f>
        <v>3143872656.8899984</v>
      </c>
      <c r="D9" s="428">
        <f>D11-(D7+D8+D10)</f>
        <v>3380395605.789999</v>
      </c>
      <c r="E9" s="428">
        <f>E11-(E7+E8+E10)</f>
        <v>1405791603.1599979</v>
      </c>
      <c r="F9" s="428">
        <v>1466595537</v>
      </c>
      <c r="G9" s="428">
        <v>813518995.89999998</v>
      </c>
      <c r="H9" s="428">
        <f>10278331361.03-H7-H10</f>
        <v>1223240332.1900008</v>
      </c>
      <c r="I9" s="428">
        <f>1633878868</f>
        <v>1633878868</v>
      </c>
      <c r="J9" s="428">
        <v>1660181171</v>
      </c>
      <c r="K9" s="191"/>
    </row>
    <row r="10" spans="1:18" s="188" customFormat="1" ht="15" x14ac:dyDescent="0.3">
      <c r="A10" s="188" t="s">
        <v>296</v>
      </c>
      <c r="B10" s="429">
        <f>-1678212.06</f>
        <v>-1678212.06</v>
      </c>
      <c r="C10" s="429">
        <f>647161.53</f>
        <v>647161.53</v>
      </c>
      <c r="D10" s="429">
        <f>746399</f>
        <v>746399</v>
      </c>
      <c r="E10" s="429">
        <v>-145995.47</v>
      </c>
      <c r="F10" s="429">
        <v>8462</v>
      </c>
      <c r="G10" s="429">
        <v>621427271.10000002</v>
      </c>
      <c r="H10" s="429">
        <f>1966099.07-2081526.23</f>
        <v>-115427.15999999992</v>
      </c>
      <c r="I10" s="429">
        <v>-125193</v>
      </c>
      <c r="J10" s="429">
        <v>0</v>
      </c>
      <c r="K10" s="191"/>
      <c r="L10" s="191"/>
    </row>
    <row r="11" spans="1:18" s="188" customFormat="1" ht="15" x14ac:dyDescent="0.3">
      <c r="A11" s="189" t="s">
        <v>297</v>
      </c>
      <c r="B11" s="428">
        <f>12838121598.02</f>
        <v>12838121598.02</v>
      </c>
      <c r="C11" s="428">
        <v>13270350501.809999</v>
      </c>
      <c r="D11" s="428">
        <v>14214358527.1</v>
      </c>
      <c r="E11" s="428">
        <v>12643008322.629999</v>
      </c>
      <c r="F11" s="428">
        <f>SUM(F7:F10)</f>
        <v>13303105673.869999</v>
      </c>
      <c r="G11" s="428">
        <f>SUM(G7:G10)</f>
        <v>13744373932.01</v>
      </c>
      <c r="H11" s="428">
        <f>SUM(H7:H10)</f>
        <v>13771114174.34</v>
      </c>
      <c r="I11" s="428">
        <f>SUM(I7:I10)</f>
        <v>14170606492</v>
      </c>
      <c r="J11" s="428">
        <f>SUM(J7:J10)</f>
        <v>14578885634</v>
      </c>
      <c r="K11" s="191"/>
    </row>
    <row r="12" spans="1:18" s="188" customFormat="1" ht="15" x14ac:dyDescent="0.3">
      <c r="B12" s="190"/>
      <c r="C12" s="190"/>
      <c r="D12" s="190"/>
      <c r="E12" s="190"/>
      <c r="F12" s="190"/>
      <c r="G12" s="190"/>
      <c r="H12" s="190"/>
      <c r="I12" s="190"/>
      <c r="J12" s="190"/>
      <c r="K12" s="191"/>
      <c r="O12" s="192"/>
      <c r="R12" s="192"/>
    </row>
    <row r="13" spans="1:18" s="188" customFormat="1" ht="15" x14ac:dyDescent="0.3">
      <c r="A13" s="188" t="s">
        <v>293</v>
      </c>
      <c r="B13" s="193">
        <f>B7/$B$11</f>
        <v>0.63191451166432255</v>
      </c>
      <c r="C13" s="193">
        <f>C7/$C$11</f>
        <v>0.57723730576710852</v>
      </c>
      <c r="D13" s="193">
        <f>D7/$D$11</f>
        <v>0.54918100093839595</v>
      </c>
      <c r="E13" s="193">
        <f>E7/$E$11</f>
        <v>0.61058794562069496</v>
      </c>
      <c r="F13" s="193">
        <f>F7/$F$11</f>
        <v>0.63389086629324232</v>
      </c>
      <c r="G13" s="193">
        <f>G7/$G$11</f>
        <v>0.63675058931695783</v>
      </c>
      <c r="H13" s="193">
        <f>H7/$H$11</f>
        <v>0.65755075016898434</v>
      </c>
      <c r="I13" s="193">
        <f>I7/$I$11</f>
        <v>0.63665569007884348</v>
      </c>
      <c r="J13" s="193">
        <f>J7/$J$11</f>
        <v>0.6354731228149505</v>
      </c>
      <c r="O13" s="192"/>
      <c r="R13" s="192"/>
    </row>
    <row r="14" spans="1:18" s="188" customFormat="1" ht="17.25" x14ac:dyDescent="0.3">
      <c r="A14" s="188" t="s">
        <v>294</v>
      </c>
      <c r="B14" s="193">
        <f>B8/$B$11</f>
        <v>0.18059557136517379</v>
      </c>
      <c r="C14" s="193">
        <f>C8/$C$11</f>
        <v>0.18580438495604876</v>
      </c>
      <c r="D14" s="193">
        <f>D8/$D$11</f>
        <v>0.21295093077390931</v>
      </c>
      <c r="E14" s="193">
        <f>E8/$E$11</f>
        <v>0.27823237531716261</v>
      </c>
      <c r="F14" s="193">
        <f>F8/$F$11</f>
        <v>0.25586389962726702</v>
      </c>
      <c r="G14" s="193">
        <f>G8/$G$11</f>
        <v>0.25884696397296852</v>
      </c>
      <c r="H14" s="193">
        <f>H8/$H$11</f>
        <v>0.25363109833321795</v>
      </c>
      <c r="I14" s="193">
        <f>I8/$I$11</f>
        <v>0.24805258433959201</v>
      </c>
      <c r="J14" s="193">
        <f>J8/$J$11</f>
        <v>0.25065115220314649</v>
      </c>
    </row>
    <row r="15" spans="1:18" s="188" customFormat="1" ht="17.25" x14ac:dyDescent="0.3">
      <c r="A15" s="188" t="s">
        <v>295</v>
      </c>
      <c r="B15" s="193">
        <f>B9/$B$11</f>
        <v>0.18762063796790093</v>
      </c>
      <c r="C15" s="193">
        <f>C9/$C$11</f>
        <v>0.2369095417985525</v>
      </c>
      <c r="D15" s="193">
        <f>D9/$D$11</f>
        <v>0.23781555807426677</v>
      </c>
      <c r="E15" s="193">
        <f>E9/$E$11</f>
        <v>0.11119122658835402</v>
      </c>
      <c r="F15" s="193">
        <f>F9/$F$11</f>
        <v>0.1102445979874227</v>
      </c>
      <c r="G15" s="193">
        <f>G9/$G$11</f>
        <v>5.9189236259452493E-2</v>
      </c>
      <c r="H15" s="193">
        <f>H9/$H$11</f>
        <v>8.8826533329401158E-2</v>
      </c>
      <c r="I15" s="193">
        <f>I9/$I$11</f>
        <v>0.11530056027752972</v>
      </c>
      <c r="J15" s="193">
        <f>J9/$J$11</f>
        <v>0.11387572498190296</v>
      </c>
    </row>
    <row r="16" spans="1:18" s="188" customFormat="1" ht="15" x14ac:dyDescent="0.3">
      <c r="A16" s="188" t="s">
        <v>296</v>
      </c>
      <c r="B16" s="430">
        <f>B10/$B$11</f>
        <v>-1.3072099739722262E-4</v>
      </c>
      <c r="C16" s="430">
        <f>C10/$C$11</f>
        <v>4.8767478290172586E-5</v>
      </c>
      <c r="D16" s="430">
        <f>D10/$D$11</f>
        <v>5.2510213427990664E-5</v>
      </c>
      <c r="E16" s="431">
        <f>E10/$E$11</f>
        <v>-1.1547526211675389E-5</v>
      </c>
      <c r="F16" s="432">
        <f>F10/$F$11</f>
        <v>6.3609206808159739E-7</v>
      </c>
      <c r="G16" s="432">
        <f>G10/$G$11</f>
        <v>4.521321045062119E-2</v>
      </c>
      <c r="H16" s="432">
        <f>H10/$H$11</f>
        <v>-8.3818316033627625E-6</v>
      </c>
      <c r="I16" s="432">
        <f>I10/$I$11</f>
        <v>-8.8346959652487397E-6</v>
      </c>
      <c r="J16" s="432">
        <f>J10/$I$11</f>
        <v>0</v>
      </c>
    </row>
    <row r="17" spans="1:10" s="188" customFormat="1" ht="17.25" x14ac:dyDescent="0.3">
      <c r="A17" s="194" t="s">
        <v>298</v>
      </c>
      <c r="B17" s="193">
        <f t="shared" ref="B17:J17" si="0">SUM(B13:B16)</f>
        <v>1</v>
      </c>
      <c r="C17" s="193">
        <f t="shared" si="0"/>
        <v>1</v>
      </c>
      <c r="D17" s="193">
        <f t="shared" si="0"/>
        <v>1</v>
      </c>
      <c r="E17" s="193">
        <f t="shared" si="0"/>
        <v>1</v>
      </c>
      <c r="F17" s="193">
        <f t="shared" si="0"/>
        <v>1.0000000000000002</v>
      </c>
      <c r="G17" s="193">
        <f t="shared" si="0"/>
        <v>1</v>
      </c>
      <c r="H17" s="193">
        <f t="shared" si="0"/>
        <v>1</v>
      </c>
      <c r="I17" s="193">
        <f t="shared" si="0"/>
        <v>1</v>
      </c>
      <c r="J17" s="193">
        <f t="shared" si="0"/>
        <v>1</v>
      </c>
    </row>
    <row r="18" spans="1:10" s="188" customFormat="1" ht="15" x14ac:dyDescent="0.3">
      <c r="D18" s="190"/>
      <c r="E18" s="190"/>
      <c r="F18" s="190"/>
      <c r="G18" s="190"/>
      <c r="H18" s="190"/>
      <c r="I18" s="190"/>
      <c r="J18" s="190"/>
    </row>
    <row r="20" spans="1:10" s="196" customFormat="1" ht="13.5" x14ac:dyDescent="0.3">
      <c r="A20" s="195" t="s">
        <v>299</v>
      </c>
      <c r="B20" s="196" t="s">
        <v>300</v>
      </c>
      <c r="D20" s="197"/>
      <c r="E20" s="197"/>
      <c r="F20" s="197"/>
      <c r="G20" s="197"/>
      <c r="H20" s="197"/>
      <c r="I20" s="197"/>
      <c r="J20" s="197"/>
    </row>
    <row r="21" spans="1:10" s="196" customFormat="1" ht="13.5" x14ac:dyDescent="0.3">
      <c r="B21" s="196" t="s">
        <v>301</v>
      </c>
      <c r="D21" s="197"/>
      <c r="E21" s="197"/>
      <c r="F21" s="197"/>
      <c r="G21" s="198"/>
      <c r="H21" s="198"/>
      <c r="I21" s="197"/>
      <c r="J21" s="197"/>
    </row>
    <row r="22" spans="1:10" s="196" customFormat="1" ht="13.5" x14ac:dyDescent="0.3">
      <c r="B22" s="196" t="s">
        <v>302</v>
      </c>
      <c r="D22" s="197"/>
      <c r="E22" s="197"/>
      <c r="F22" s="197"/>
      <c r="G22" s="197"/>
      <c r="H22" s="197"/>
      <c r="I22" s="197"/>
      <c r="J22" s="197"/>
    </row>
    <row r="23" spans="1:10" s="196" customFormat="1" ht="13.5" x14ac:dyDescent="0.3">
      <c r="B23" s="196" t="s">
        <v>373</v>
      </c>
      <c r="D23" s="197"/>
      <c r="E23" s="197"/>
      <c r="F23" s="197"/>
      <c r="G23" s="197"/>
      <c r="H23" s="197"/>
      <c r="I23" s="197"/>
      <c r="J23" s="197"/>
    </row>
    <row r="24" spans="1:10" s="196" customFormat="1" ht="13.5" x14ac:dyDescent="0.3">
      <c r="B24" s="196" t="s">
        <v>303</v>
      </c>
      <c r="D24" s="197"/>
      <c r="E24" s="197"/>
      <c r="F24" s="197"/>
      <c r="G24" s="197"/>
      <c r="H24" s="197"/>
      <c r="I24" s="197"/>
      <c r="J24" s="197"/>
    </row>
    <row r="25" spans="1:10" s="196" customFormat="1" ht="13.5" x14ac:dyDescent="0.3">
      <c r="B25" s="196" t="s">
        <v>304</v>
      </c>
      <c r="D25" s="197"/>
      <c r="E25" s="197"/>
      <c r="F25" s="197"/>
      <c r="G25" s="197"/>
      <c r="H25" s="197"/>
      <c r="I25" s="197"/>
      <c r="J25" s="197"/>
    </row>
  </sheetData>
  <mergeCells count="4">
    <mergeCell ref="A1:J1"/>
    <mergeCell ref="A2:B2"/>
    <mergeCell ref="A3:J3"/>
    <mergeCell ref="A4:J4"/>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07C4-C9F4-4B76-910B-218151AB6B35}">
  <dimension ref="A1:K32"/>
  <sheetViews>
    <sheetView showGridLines="0" workbookViewId="0">
      <selection activeCell="B17" sqref="B17"/>
    </sheetView>
  </sheetViews>
  <sheetFormatPr defaultRowHeight="16.5" x14ac:dyDescent="0.3"/>
  <cols>
    <col min="1" max="1" width="13.140625" style="217" customWidth="1"/>
    <col min="2" max="2" width="18.28515625" style="218" customWidth="1"/>
    <col min="3" max="3" width="9" style="218" customWidth="1"/>
    <col min="4" max="4" width="13.28515625" style="218" customWidth="1"/>
    <col min="5" max="5" width="5.42578125" style="218" customWidth="1"/>
    <col min="6" max="6" width="17.5703125" style="218" bestFit="1" customWidth="1"/>
    <col min="7" max="7" width="9.28515625" style="218" bestFit="1" customWidth="1"/>
    <col min="8" max="8" width="5.7109375" style="218" customWidth="1"/>
    <col min="9" max="9" width="15.5703125" style="218" customWidth="1"/>
    <col min="10" max="10" width="9.28515625" style="218" bestFit="1" customWidth="1"/>
    <col min="11" max="251" width="9.140625" style="217"/>
    <col min="252" max="252" width="13.140625" style="217" customWidth="1"/>
    <col min="253" max="253" width="18.28515625" style="217" customWidth="1"/>
    <col min="254" max="254" width="14.28515625" style="217" customWidth="1"/>
    <col min="255" max="255" width="12.85546875" style="217" customWidth="1"/>
    <col min="256" max="256" width="3.5703125" style="217" customWidth="1"/>
    <col min="257" max="257" width="16.5703125" style="217" bestFit="1" customWidth="1"/>
    <col min="258" max="258" width="9.140625" style="217"/>
    <col min="259" max="259" width="3.5703125" style="217" customWidth="1"/>
    <col min="260" max="260" width="15.42578125" style="217" customWidth="1"/>
    <col min="261" max="262" width="9.140625" style="217"/>
    <col min="263" max="263" width="23.7109375" style="217" customWidth="1"/>
    <col min="264" max="507" width="9.140625" style="217"/>
    <col min="508" max="508" width="13.140625" style="217" customWidth="1"/>
    <col min="509" max="509" width="18.28515625" style="217" customWidth="1"/>
    <col min="510" max="510" width="14.28515625" style="217" customWidth="1"/>
    <col min="511" max="511" width="12.85546875" style="217" customWidth="1"/>
    <col min="512" max="512" width="3.5703125" style="217" customWidth="1"/>
    <col min="513" max="513" width="16.5703125" style="217" bestFit="1" customWidth="1"/>
    <col min="514" max="514" width="9.140625" style="217"/>
    <col min="515" max="515" width="3.5703125" style="217" customWidth="1"/>
    <col min="516" max="516" width="15.42578125" style="217" customWidth="1"/>
    <col min="517" max="518" width="9.140625" style="217"/>
    <col min="519" max="519" width="23.7109375" style="217" customWidth="1"/>
    <col min="520" max="763" width="9.140625" style="217"/>
    <col min="764" max="764" width="13.140625" style="217" customWidth="1"/>
    <col min="765" max="765" width="18.28515625" style="217" customWidth="1"/>
    <col min="766" max="766" width="14.28515625" style="217" customWidth="1"/>
    <col min="767" max="767" width="12.85546875" style="217" customWidth="1"/>
    <col min="768" max="768" width="3.5703125" style="217" customWidth="1"/>
    <col min="769" max="769" width="16.5703125" style="217" bestFit="1" customWidth="1"/>
    <col min="770" max="770" width="9.140625" style="217"/>
    <col min="771" max="771" width="3.5703125" style="217" customWidth="1"/>
    <col min="772" max="772" width="15.42578125" style="217" customWidth="1"/>
    <col min="773" max="774" width="9.140625" style="217"/>
    <col min="775" max="775" width="23.7109375" style="217" customWidth="1"/>
    <col min="776" max="1019" width="9.140625" style="217"/>
    <col min="1020" max="1020" width="13.140625" style="217" customWidth="1"/>
    <col min="1021" max="1021" width="18.28515625" style="217" customWidth="1"/>
    <col min="1022" max="1022" width="14.28515625" style="217" customWidth="1"/>
    <col min="1023" max="1023" width="12.85546875" style="217" customWidth="1"/>
    <col min="1024" max="1024" width="3.5703125" style="217" customWidth="1"/>
    <col min="1025" max="1025" width="16.5703125" style="217" bestFit="1" customWidth="1"/>
    <col min="1026" max="1026" width="9.140625" style="217"/>
    <col min="1027" max="1027" width="3.5703125" style="217" customWidth="1"/>
    <col min="1028" max="1028" width="15.42578125" style="217" customWidth="1"/>
    <col min="1029" max="1030" width="9.140625" style="217"/>
    <col min="1031" max="1031" width="23.7109375" style="217" customWidth="1"/>
    <col min="1032" max="1275" width="9.140625" style="217"/>
    <col min="1276" max="1276" width="13.140625" style="217" customWidth="1"/>
    <col min="1277" max="1277" width="18.28515625" style="217" customWidth="1"/>
    <col min="1278" max="1278" width="14.28515625" style="217" customWidth="1"/>
    <col min="1279" max="1279" width="12.85546875" style="217" customWidth="1"/>
    <col min="1280" max="1280" width="3.5703125" style="217" customWidth="1"/>
    <col min="1281" max="1281" width="16.5703125" style="217" bestFit="1" customWidth="1"/>
    <col min="1282" max="1282" width="9.140625" style="217"/>
    <col min="1283" max="1283" width="3.5703125" style="217" customWidth="1"/>
    <col min="1284" max="1284" width="15.42578125" style="217" customWidth="1"/>
    <col min="1285" max="1286" width="9.140625" style="217"/>
    <col min="1287" max="1287" width="23.7109375" style="217" customWidth="1"/>
    <col min="1288" max="1531" width="9.140625" style="217"/>
    <col min="1532" max="1532" width="13.140625" style="217" customWidth="1"/>
    <col min="1533" max="1533" width="18.28515625" style="217" customWidth="1"/>
    <col min="1534" max="1534" width="14.28515625" style="217" customWidth="1"/>
    <col min="1535" max="1535" width="12.85546875" style="217" customWidth="1"/>
    <col min="1536" max="1536" width="3.5703125" style="217" customWidth="1"/>
    <col min="1537" max="1537" width="16.5703125" style="217" bestFit="1" customWidth="1"/>
    <col min="1538" max="1538" width="9.140625" style="217"/>
    <col min="1539" max="1539" width="3.5703125" style="217" customWidth="1"/>
    <col min="1540" max="1540" width="15.42578125" style="217" customWidth="1"/>
    <col min="1541" max="1542" width="9.140625" style="217"/>
    <col min="1543" max="1543" width="23.7109375" style="217" customWidth="1"/>
    <col min="1544" max="1787" width="9.140625" style="217"/>
    <col min="1788" max="1788" width="13.140625" style="217" customWidth="1"/>
    <col min="1789" max="1789" width="18.28515625" style="217" customWidth="1"/>
    <col min="1790" max="1790" width="14.28515625" style="217" customWidth="1"/>
    <col min="1791" max="1791" width="12.85546875" style="217" customWidth="1"/>
    <col min="1792" max="1792" width="3.5703125" style="217" customWidth="1"/>
    <col min="1793" max="1793" width="16.5703125" style="217" bestFit="1" customWidth="1"/>
    <col min="1794" max="1794" width="9.140625" style="217"/>
    <col min="1795" max="1795" width="3.5703125" style="217" customWidth="1"/>
    <col min="1796" max="1796" width="15.42578125" style="217" customWidth="1"/>
    <col min="1797" max="1798" width="9.140625" style="217"/>
    <col min="1799" max="1799" width="23.7109375" style="217" customWidth="1"/>
    <col min="1800" max="2043" width="9.140625" style="217"/>
    <col min="2044" max="2044" width="13.140625" style="217" customWidth="1"/>
    <col min="2045" max="2045" width="18.28515625" style="217" customWidth="1"/>
    <col min="2046" max="2046" width="14.28515625" style="217" customWidth="1"/>
    <col min="2047" max="2047" width="12.85546875" style="217" customWidth="1"/>
    <col min="2048" max="2048" width="3.5703125" style="217" customWidth="1"/>
    <col min="2049" max="2049" width="16.5703125" style="217" bestFit="1" customWidth="1"/>
    <col min="2050" max="2050" width="9.140625" style="217"/>
    <col min="2051" max="2051" width="3.5703125" style="217" customWidth="1"/>
    <col min="2052" max="2052" width="15.42578125" style="217" customWidth="1"/>
    <col min="2053" max="2054" width="9.140625" style="217"/>
    <col min="2055" max="2055" width="23.7109375" style="217" customWidth="1"/>
    <col min="2056" max="2299" width="9.140625" style="217"/>
    <col min="2300" max="2300" width="13.140625" style="217" customWidth="1"/>
    <col min="2301" max="2301" width="18.28515625" style="217" customWidth="1"/>
    <col min="2302" max="2302" width="14.28515625" style="217" customWidth="1"/>
    <col min="2303" max="2303" width="12.85546875" style="217" customWidth="1"/>
    <col min="2304" max="2304" width="3.5703125" style="217" customWidth="1"/>
    <col min="2305" max="2305" width="16.5703125" style="217" bestFit="1" customWidth="1"/>
    <col min="2306" max="2306" width="9.140625" style="217"/>
    <col min="2307" max="2307" width="3.5703125" style="217" customWidth="1"/>
    <col min="2308" max="2308" width="15.42578125" style="217" customWidth="1"/>
    <col min="2309" max="2310" width="9.140625" style="217"/>
    <col min="2311" max="2311" width="23.7109375" style="217" customWidth="1"/>
    <col min="2312" max="2555" width="9.140625" style="217"/>
    <col min="2556" max="2556" width="13.140625" style="217" customWidth="1"/>
    <col min="2557" max="2557" width="18.28515625" style="217" customWidth="1"/>
    <col min="2558" max="2558" width="14.28515625" style="217" customWidth="1"/>
    <col min="2559" max="2559" width="12.85546875" style="217" customWidth="1"/>
    <col min="2560" max="2560" width="3.5703125" style="217" customWidth="1"/>
    <col min="2561" max="2561" width="16.5703125" style="217" bestFit="1" customWidth="1"/>
    <col min="2562" max="2562" width="9.140625" style="217"/>
    <col min="2563" max="2563" width="3.5703125" style="217" customWidth="1"/>
    <col min="2564" max="2564" width="15.42578125" style="217" customWidth="1"/>
    <col min="2565" max="2566" width="9.140625" style="217"/>
    <col min="2567" max="2567" width="23.7109375" style="217" customWidth="1"/>
    <col min="2568" max="2811" width="9.140625" style="217"/>
    <col min="2812" max="2812" width="13.140625" style="217" customWidth="1"/>
    <col min="2813" max="2813" width="18.28515625" style="217" customWidth="1"/>
    <col min="2814" max="2814" width="14.28515625" style="217" customWidth="1"/>
    <col min="2815" max="2815" width="12.85546875" style="217" customWidth="1"/>
    <col min="2816" max="2816" width="3.5703125" style="217" customWidth="1"/>
    <col min="2817" max="2817" width="16.5703125" style="217" bestFit="1" customWidth="1"/>
    <col min="2818" max="2818" width="9.140625" style="217"/>
    <col min="2819" max="2819" width="3.5703125" style="217" customWidth="1"/>
    <col min="2820" max="2820" width="15.42578125" style="217" customWidth="1"/>
    <col min="2821" max="2822" width="9.140625" style="217"/>
    <col min="2823" max="2823" width="23.7109375" style="217" customWidth="1"/>
    <col min="2824" max="3067" width="9.140625" style="217"/>
    <col min="3068" max="3068" width="13.140625" style="217" customWidth="1"/>
    <col min="3069" max="3069" width="18.28515625" style="217" customWidth="1"/>
    <col min="3070" max="3070" width="14.28515625" style="217" customWidth="1"/>
    <col min="3071" max="3071" width="12.85546875" style="217" customWidth="1"/>
    <col min="3072" max="3072" width="3.5703125" style="217" customWidth="1"/>
    <col min="3073" max="3073" width="16.5703125" style="217" bestFit="1" customWidth="1"/>
    <col min="3074" max="3074" width="9.140625" style="217"/>
    <col min="3075" max="3075" width="3.5703125" style="217" customWidth="1"/>
    <col min="3076" max="3076" width="15.42578125" style="217" customWidth="1"/>
    <col min="3077" max="3078" width="9.140625" style="217"/>
    <col min="3079" max="3079" width="23.7109375" style="217" customWidth="1"/>
    <col min="3080" max="3323" width="9.140625" style="217"/>
    <col min="3324" max="3324" width="13.140625" style="217" customWidth="1"/>
    <col min="3325" max="3325" width="18.28515625" style="217" customWidth="1"/>
    <col min="3326" max="3326" width="14.28515625" style="217" customWidth="1"/>
    <col min="3327" max="3327" width="12.85546875" style="217" customWidth="1"/>
    <col min="3328" max="3328" width="3.5703125" style="217" customWidth="1"/>
    <col min="3329" max="3329" width="16.5703125" style="217" bestFit="1" customWidth="1"/>
    <col min="3330" max="3330" width="9.140625" style="217"/>
    <col min="3331" max="3331" width="3.5703125" style="217" customWidth="1"/>
    <col min="3332" max="3332" width="15.42578125" style="217" customWidth="1"/>
    <col min="3333" max="3334" width="9.140625" style="217"/>
    <col min="3335" max="3335" width="23.7109375" style="217" customWidth="1"/>
    <col min="3336" max="3579" width="9.140625" style="217"/>
    <col min="3580" max="3580" width="13.140625" style="217" customWidth="1"/>
    <col min="3581" max="3581" width="18.28515625" style="217" customWidth="1"/>
    <col min="3582" max="3582" width="14.28515625" style="217" customWidth="1"/>
    <col min="3583" max="3583" width="12.85546875" style="217" customWidth="1"/>
    <col min="3584" max="3584" width="3.5703125" style="217" customWidth="1"/>
    <col min="3585" max="3585" width="16.5703125" style="217" bestFit="1" customWidth="1"/>
    <col min="3586" max="3586" width="9.140625" style="217"/>
    <col min="3587" max="3587" width="3.5703125" style="217" customWidth="1"/>
    <col min="3588" max="3588" width="15.42578125" style="217" customWidth="1"/>
    <col min="3589" max="3590" width="9.140625" style="217"/>
    <col min="3591" max="3591" width="23.7109375" style="217" customWidth="1"/>
    <col min="3592" max="3835" width="9.140625" style="217"/>
    <col min="3836" max="3836" width="13.140625" style="217" customWidth="1"/>
    <col min="3837" max="3837" width="18.28515625" style="217" customWidth="1"/>
    <col min="3838" max="3838" width="14.28515625" style="217" customWidth="1"/>
    <col min="3839" max="3839" width="12.85546875" style="217" customWidth="1"/>
    <col min="3840" max="3840" width="3.5703125" style="217" customWidth="1"/>
    <col min="3841" max="3841" width="16.5703125" style="217" bestFit="1" customWidth="1"/>
    <col min="3842" max="3842" width="9.140625" style="217"/>
    <col min="3843" max="3843" width="3.5703125" style="217" customWidth="1"/>
    <col min="3844" max="3844" width="15.42578125" style="217" customWidth="1"/>
    <col min="3845" max="3846" width="9.140625" style="217"/>
    <col min="3847" max="3847" width="23.7109375" style="217" customWidth="1"/>
    <col min="3848" max="4091" width="9.140625" style="217"/>
    <col min="4092" max="4092" width="13.140625" style="217" customWidth="1"/>
    <col min="4093" max="4093" width="18.28515625" style="217" customWidth="1"/>
    <col min="4094" max="4094" width="14.28515625" style="217" customWidth="1"/>
    <col min="4095" max="4095" width="12.85546875" style="217" customWidth="1"/>
    <col min="4096" max="4096" width="3.5703125" style="217" customWidth="1"/>
    <col min="4097" max="4097" width="16.5703125" style="217" bestFit="1" customWidth="1"/>
    <col min="4098" max="4098" width="9.140625" style="217"/>
    <col min="4099" max="4099" width="3.5703125" style="217" customWidth="1"/>
    <col min="4100" max="4100" width="15.42578125" style="217" customWidth="1"/>
    <col min="4101" max="4102" width="9.140625" style="217"/>
    <col min="4103" max="4103" width="23.7109375" style="217" customWidth="1"/>
    <col min="4104" max="4347" width="9.140625" style="217"/>
    <col min="4348" max="4348" width="13.140625" style="217" customWidth="1"/>
    <col min="4349" max="4349" width="18.28515625" style="217" customWidth="1"/>
    <col min="4350" max="4350" width="14.28515625" style="217" customWidth="1"/>
    <col min="4351" max="4351" width="12.85546875" style="217" customWidth="1"/>
    <col min="4352" max="4352" width="3.5703125" style="217" customWidth="1"/>
    <col min="4353" max="4353" width="16.5703125" style="217" bestFit="1" customWidth="1"/>
    <col min="4354" max="4354" width="9.140625" style="217"/>
    <col min="4355" max="4355" width="3.5703125" style="217" customWidth="1"/>
    <col min="4356" max="4356" width="15.42578125" style="217" customWidth="1"/>
    <col min="4357" max="4358" width="9.140625" style="217"/>
    <col min="4359" max="4359" width="23.7109375" style="217" customWidth="1"/>
    <col min="4360" max="4603" width="9.140625" style="217"/>
    <col min="4604" max="4604" width="13.140625" style="217" customWidth="1"/>
    <col min="4605" max="4605" width="18.28515625" style="217" customWidth="1"/>
    <col min="4606" max="4606" width="14.28515625" style="217" customWidth="1"/>
    <col min="4607" max="4607" width="12.85546875" style="217" customWidth="1"/>
    <col min="4608" max="4608" width="3.5703125" style="217" customWidth="1"/>
    <col min="4609" max="4609" width="16.5703125" style="217" bestFit="1" customWidth="1"/>
    <col min="4610" max="4610" width="9.140625" style="217"/>
    <col min="4611" max="4611" width="3.5703125" style="217" customWidth="1"/>
    <col min="4612" max="4612" width="15.42578125" style="217" customWidth="1"/>
    <col min="4613" max="4614" width="9.140625" style="217"/>
    <col min="4615" max="4615" width="23.7109375" style="217" customWidth="1"/>
    <col min="4616" max="4859" width="9.140625" style="217"/>
    <col min="4860" max="4860" width="13.140625" style="217" customWidth="1"/>
    <col min="4861" max="4861" width="18.28515625" style="217" customWidth="1"/>
    <col min="4862" max="4862" width="14.28515625" style="217" customWidth="1"/>
    <col min="4863" max="4863" width="12.85546875" style="217" customWidth="1"/>
    <col min="4864" max="4864" width="3.5703125" style="217" customWidth="1"/>
    <col min="4865" max="4865" width="16.5703125" style="217" bestFit="1" customWidth="1"/>
    <col min="4866" max="4866" width="9.140625" style="217"/>
    <col min="4867" max="4867" width="3.5703125" style="217" customWidth="1"/>
    <col min="4868" max="4868" width="15.42578125" style="217" customWidth="1"/>
    <col min="4869" max="4870" width="9.140625" style="217"/>
    <col min="4871" max="4871" width="23.7109375" style="217" customWidth="1"/>
    <col min="4872" max="5115" width="9.140625" style="217"/>
    <col min="5116" max="5116" width="13.140625" style="217" customWidth="1"/>
    <col min="5117" max="5117" width="18.28515625" style="217" customWidth="1"/>
    <col min="5118" max="5118" width="14.28515625" style="217" customWidth="1"/>
    <col min="5119" max="5119" width="12.85546875" style="217" customWidth="1"/>
    <col min="5120" max="5120" width="3.5703125" style="217" customWidth="1"/>
    <col min="5121" max="5121" width="16.5703125" style="217" bestFit="1" customWidth="1"/>
    <col min="5122" max="5122" width="9.140625" style="217"/>
    <col min="5123" max="5123" width="3.5703125" style="217" customWidth="1"/>
    <col min="5124" max="5124" width="15.42578125" style="217" customWidth="1"/>
    <col min="5125" max="5126" width="9.140625" style="217"/>
    <col min="5127" max="5127" width="23.7109375" style="217" customWidth="1"/>
    <col min="5128" max="5371" width="9.140625" style="217"/>
    <col min="5372" max="5372" width="13.140625" style="217" customWidth="1"/>
    <col min="5373" max="5373" width="18.28515625" style="217" customWidth="1"/>
    <col min="5374" max="5374" width="14.28515625" style="217" customWidth="1"/>
    <col min="5375" max="5375" width="12.85546875" style="217" customWidth="1"/>
    <col min="5376" max="5376" width="3.5703125" style="217" customWidth="1"/>
    <col min="5377" max="5377" width="16.5703125" style="217" bestFit="1" customWidth="1"/>
    <col min="5378" max="5378" width="9.140625" style="217"/>
    <col min="5379" max="5379" width="3.5703125" style="217" customWidth="1"/>
    <col min="5380" max="5380" width="15.42578125" style="217" customWidth="1"/>
    <col min="5381" max="5382" width="9.140625" style="217"/>
    <col min="5383" max="5383" width="23.7109375" style="217" customWidth="1"/>
    <col min="5384" max="5627" width="9.140625" style="217"/>
    <col min="5628" max="5628" width="13.140625" style="217" customWidth="1"/>
    <col min="5629" max="5629" width="18.28515625" style="217" customWidth="1"/>
    <col min="5630" max="5630" width="14.28515625" style="217" customWidth="1"/>
    <col min="5631" max="5631" width="12.85546875" style="217" customWidth="1"/>
    <col min="5632" max="5632" width="3.5703125" style="217" customWidth="1"/>
    <col min="5633" max="5633" width="16.5703125" style="217" bestFit="1" customWidth="1"/>
    <col min="5634" max="5634" width="9.140625" style="217"/>
    <col min="5635" max="5635" width="3.5703125" style="217" customWidth="1"/>
    <col min="5636" max="5636" width="15.42578125" style="217" customWidth="1"/>
    <col min="5637" max="5638" width="9.140625" style="217"/>
    <col min="5639" max="5639" width="23.7109375" style="217" customWidth="1"/>
    <col min="5640" max="5883" width="9.140625" style="217"/>
    <col min="5884" max="5884" width="13.140625" style="217" customWidth="1"/>
    <col min="5885" max="5885" width="18.28515625" style="217" customWidth="1"/>
    <col min="5886" max="5886" width="14.28515625" style="217" customWidth="1"/>
    <col min="5887" max="5887" width="12.85546875" style="217" customWidth="1"/>
    <col min="5888" max="5888" width="3.5703125" style="217" customWidth="1"/>
    <col min="5889" max="5889" width="16.5703125" style="217" bestFit="1" customWidth="1"/>
    <col min="5890" max="5890" width="9.140625" style="217"/>
    <col min="5891" max="5891" width="3.5703125" style="217" customWidth="1"/>
    <col min="5892" max="5892" width="15.42578125" style="217" customWidth="1"/>
    <col min="5893" max="5894" width="9.140625" style="217"/>
    <col min="5895" max="5895" width="23.7109375" style="217" customWidth="1"/>
    <col min="5896" max="6139" width="9.140625" style="217"/>
    <col min="6140" max="6140" width="13.140625" style="217" customWidth="1"/>
    <col min="6141" max="6141" width="18.28515625" style="217" customWidth="1"/>
    <col min="6142" max="6142" width="14.28515625" style="217" customWidth="1"/>
    <col min="6143" max="6143" width="12.85546875" style="217" customWidth="1"/>
    <col min="6144" max="6144" width="3.5703125" style="217" customWidth="1"/>
    <col min="6145" max="6145" width="16.5703125" style="217" bestFit="1" customWidth="1"/>
    <col min="6146" max="6146" width="9.140625" style="217"/>
    <col min="6147" max="6147" width="3.5703125" style="217" customWidth="1"/>
    <col min="6148" max="6148" width="15.42578125" style="217" customWidth="1"/>
    <col min="6149" max="6150" width="9.140625" style="217"/>
    <col min="6151" max="6151" width="23.7109375" style="217" customWidth="1"/>
    <col min="6152" max="6395" width="9.140625" style="217"/>
    <col min="6396" max="6396" width="13.140625" style="217" customWidth="1"/>
    <col min="6397" max="6397" width="18.28515625" style="217" customWidth="1"/>
    <col min="6398" max="6398" width="14.28515625" style="217" customWidth="1"/>
    <col min="6399" max="6399" width="12.85546875" style="217" customWidth="1"/>
    <col min="6400" max="6400" width="3.5703125" style="217" customWidth="1"/>
    <col min="6401" max="6401" width="16.5703125" style="217" bestFit="1" customWidth="1"/>
    <col min="6402" max="6402" width="9.140625" style="217"/>
    <col min="6403" max="6403" width="3.5703125" style="217" customWidth="1"/>
    <col min="6404" max="6404" width="15.42578125" style="217" customWidth="1"/>
    <col min="6405" max="6406" width="9.140625" style="217"/>
    <col min="6407" max="6407" width="23.7109375" style="217" customWidth="1"/>
    <col min="6408" max="6651" width="9.140625" style="217"/>
    <col min="6652" max="6652" width="13.140625" style="217" customWidth="1"/>
    <col min="6653" max="6653" width="18.28515625" style="217" customWidth="1"/>
    <col min="6654" max="6654" width="14.28515625" style="217" customWidth="1"/>
    <col min="6655" max="6655" width="12.85546875" style="217" customWidth="1"/>
    <col min="6656" max="6656" width="3.5703125" style="217" customWidth="1"/>
    <col min="6657" max="6657" width="16.5703125" style="217" bestFit="1" customWidth="1"/>
    <col min="6658" max="6658" width="9.140625" style="217"/>
    <col min="6659" max="6659" width="3.5703125" style="217" customWidth="1"/>
    <col min="6660" max="6660" width="15.42578125" style="217" customWidth="1"/>
    <col min="6661" max="6662" width="9.140625" style="217"/>
    <col min="6663" max="6663" width="23.7109375" style="217" customWidth="1"/>
    <col min="6664" max="6907" width="9.140625" style="217"/>
    <col min="6908" max="6908" width="13.140625" style="217" customWidth="1"/>
    <col min="6909" max="6909" width="18.28515625" style="217" customWidth="1"/>
    <col min="6910" max="6910" width="14.28515625" style="217" customWidth="1"/>
    <col min="6911" max="6911" width="12.85546875" style="217" customWidth="1"/>
    <col min="6912" max="6912" width="3.5703125" style="217" customWidth="1"/>
    <col min="6913" max="6913" width="16.5703125" style="217" bestFit="1" customWidth="1"/>
    <col min="6914" max="6914" width="9.140625" style="217"/>
    <col min="6915" max="6915" width="3.5703125" style="217" customWidth="1"/>
    <col min="6916" max="6916" width="15.42578125" style="217" customWidth="1"/>
    <col min="6917" max="6918" width="9.140625" style="217"/>
    <col min="6919" max="6919" width="23.7109375" style="217" customWidth="1"/>
    <col min="6920" max="7163" width="9.140625" style="217"/>
    <col min="7164" max="7164" width="13.140625" style="217" customWidth="1"/>
    <col min="7165" max="7165" width="18.28515625" style="217" customWidth="1"/>
    <col min="7166" max="7166" width="14.28515625" style="217" customWidth="1"/>
    <col min="7167" max="7167" width="12.85546875" style="217" customWidth="1"/>
    <col min="7168" max="7168" width="3.5703125" style="217" customWidth="1"/>
    <col min="7169" max="7169" width="16.5703125" style="217" bestFit="1" customWidth="1"/>
    <col min="7170" max="7170" width="9.140625" style="217"/>
    <col min="7171" max="7171" width="3.5703125" style="217" customWidth="1"/>
    <col min="7172" max="7172" width="15.42578125" style="217" customWidth="1"/>
    <col min="7173" max="7174" width="9.140625" style="217"/>
    <col min="7175" max="7175" width="23.7109375" style="217" customWidth="1"/>
    <col min="7176" max="7419" width="9.140625" style="217"/>
    <col min="7420" max="7420" width="13.140625" style="217" customWidth="1"/>
    <col min="7421" max="7421" width="18.28515625" style="217" customWidth="1"/>
    <col min="7422" max="7422" width="14.28515625" style="217" customWidth="1"/>
    <col min="7423" max="7423" width="12.85546875" style="217" customWidth="1"/>
    <col min="7424" max="7424" width="3.5703125" style="217" customWidth="1"/>
    <col min="7425" max="7425" width="16.5703125" style="217" bestFit="1" customWidth="1"/>
    <col min="7426" max="7426" width="9.140625" style="217"/>
    <col min="7427" max="7427" width="3.5703125" style="217" customWidth="1"/>
    <col min="7428" max="7428" width="15.42578125" style="217" customWidth="1"/>
    <col min="7429" max="7430" width="9.140625" style="217"/>
    <col min="7431" max="7431" width="23.7109375" style="217" customWidth="1"/>
    <col min="7432" max="7675" width="9.140625" style="217"/>
    <col min="7676" max="7676" width="13.140625" style="217" customWidth="1"/>
    <col min="7677" max="7677" width="18.28515625" style="217" customWidth="1"/>
    <col min="7678" max="7678" width="14.28515625" style="217" customWidth="1"/>
    <col min="7679" max="7679" width="12.85546875" style="217" customWidth="1"/>
    <col min="7680" max="7680" width="3.5703125" style="217" customWidth="1"/>
    <col min="7681" max="7681" width="16.5703125" style="217" bestFit="1" customWidth="1"/>
    <col min="7682" max="7682" width="9.140625" style="217"/>
    <col min="7683" max="7683" width="3.5703125" style="217" customWidth="1"/>
    <col min="7684" max="7684" width="15.42578125" style="217" customWidth="1"/>
    <col min="7685" max="7686" width="9.140625" style="217"/>
    <col min="7687" max="7687" width="23.7109375" style="217" customWidth="1"/>
    <col min="7688" max="7931" width="9.140625" style="217"/>
    <col min="7932" max="7932" width="13.140625" style="217" customWidth="1"/>
    <col min="7933" max="7933" width="18.28515625" style="217" customWidth="1"/>
    <col min="7934" max="7934" width="14.28515625" style="217" customWidth="1"/>
    <col min="7935" max="7935" width="12.85546875" style="217" customWidth="1"/>
    <col min="7936" max="7936" width="3.5703125" style="217" customWidth="1"/>
    <col min="7937" max="7937" width="16.5703125" style="217" bestFit="1" customWidth="1"/>
    <col min="7938" max="7938" width="9.140625" style="217"/>
    <col min="7939" max="7939" width="3.5703125" style="217" customWidth="1"/>
    <col min="7940" max="7940" width="15.42578125" style="217" customWidth="1"/>
    <col min="7941" max="7942" width="9.140625" style="217"/>
    <col min="7943" max="7943" width="23.7109375" style="217" customWidth="1"/>
    <col min="7944" max="8187" width="9.140625" style="217"/>
    <col min="8188" max="8188" width="13.140625" style="217" customWidth="1"/>
    <col min="8189" max="8189" width="18.28515625" style="217" customWidth="1"/>
    <col min="8190" max="8190" width="14.28515625" style="217" customWidth="1"/>
    <col min="8191" max="8191" width="12.85546875" style="217" customWidth="1"/>
    <col min="8192" max="8192" width="3.5703125" style="217" customWidth="1"/>
    <col min="8193" max="8193" width="16.5703125" style="217" bestFit="1" customWidth="1"/>
    <col min="8194" max="8194" width="9.140625" style="217"/>
    <col min="8195" max="8195" width="3.5703125" style="217" customWidth="1"/>
    <col min="8196" max="8196" width="15.42578125" style="217" customWidth="1"/>
    <col min="8197" max="8198" width="9.140625" style="217"/>
    <col min="8199" max="8199" width="23.7109375" style="217" customWidth="1"/>
    <col min="8200" max="8443" width="9.140625" style="217"/>
    <col min="8444" max="8444" width="13.140625" style="217" customWidth="1"/>
    <col min="8445" max="8445" width="18.28515625" style="217" customWidth="1"/>
    <col min="8446" max="8446" width="14.28515625" style="217" customWidth="1"/>
    <col min="8447" max="8447" width="12.85546875" style="217" customWidth="1"/>
    <col min="8448" max="8448" width="3.5703125" style="217" customWidth="1"/>
    <col min="8449" max="8449" width="16.5703125" style="217" bestFit="1" customWidth="1"/>
    <col min="8450" max="8450" width="9.140625" style="217"/>
    <col min="8451" max="8451" width="3.5703125" style="217" customWidth="1"/>
    <col min="8452" max="8452" width="15.42578125" style="217" customWidth="1"/>
    <col min="8453" max="8454" width="9.140625" style="217"/>
    <col min="8455" max="8455" width="23.7109375" style="217" customWidth="1"/>
    <col min="8456" max="8699" width="9.140625" style="217"/>
    <col min="8700" max="8700" width="13.140625" style="217" customWidth="1"/>
    <col min="8701" max="8701" width="18.28515625" style="217" customWidth="1"/>
    <col min="8702" max="8702" width="14.28515625" style="217" customWidth="1"/>
    <col min="8703" max="8703" width="12.85546875" style="217" customWidth="1"/>
    <col min="8704" max="8704" width="3.5703125" style="217" customWidth="1"/>
    <col min="8705" max="8705" width="16.5703125" style="217" bestFit="1" customWidth="1"/>
    <col min="8706" max="8706" width="9.140625" style="217"/>
    <col min="8707" max="8707" width="3.5703125" style="217" customWidth="1"/>
    <col min="8708" max="8708" width="15.42578125" style="217" customWidth="1"/>
    <col min="8709" max="8710" width="9.140625" style="217"/>
    <col min="8711" max="8711" width="23.7109375" style="217" customWidth="1"/>
    <col min="8712" max="8955" width="9.140625" style="217"/>
    <col min="8956" max="8956" width="13.140625" style="217" customWidth="1"/>
    <col min="8957" max="8957" width="18.28515625" style="217" customWidth="1"/>
    <col min="8958" max="8958" width="14.28515625" style="217" customWidth="1"/>
    <col min="8959" max="8959" width="12.85546875" style="217" customWidth="1"/>
    <col min="8960" max="8960" width="3.5703125" style="217" customWidth="1"/>
    <col min="8961" max="8961" width="16.5703125" style="217" bestFit="1" customWidth="1"/>
    <col min="8962" max="8962" width="9.140625" style="217"/>
    <col min="8963" max="8963" width="3.5703125" style="217" customWidth="1"/>
    <col min="8964" max="8964" width="15.42578125" style="217" customWidth="1"/>
    <col min="8965" max="8966" width="9.140625" style="217"/>
    <col min="8967" max="8967" width="23.7109375" style="217" customWidth="1"/>
    <col min="8968" max="9211" width="9.140625" style="217"/>
    <col min="9212" max="9212" width="13.140625" style="217" customWidth="1"/>
    <col min="9213" max="9213" width="18.28515625" style="217" customWidth="1"/>
    <col min="9214" max="9214" width="14.28515625" style="217" customWidth="1"/>
    <col min="9215" max="9215" width="12.85546875" style="217" customWidth="1"/>
    <col min="9216" max="9216" width="3.5703125" style="217" customWidth="1"/>
    <col min="9217" max="9217" width="16.5703125" style="217" bestFit="1" customWidth="1"/>
    <col min="9218" max="9218" width="9.140625" style="217"/>
    <col min="9219" max="9219" width="3.5703125" style="217" customWidth="1"/>
    <col min="9220" max="9220" width="15.42578125" style="217" customWidth="1"/>
    <col min="9221" max="9222" width="9.140625" style="217"/>
    <col min="9223" max="9223" width="23.7109375" style="217" customWidth="1"/>
    <col min="9224" max="9467" width="9.140625" style="217"/>
    <col min="9468" max="9468" width="13.140625" style="217" customWidth="1"/>
    <col min="9469" max="9469" width="18.28515625" style="217" customWidth="1"/>
    <col min="9470" max="9470" width="14.28515625" style="217" customWidth="1"/>
    <col min="9471" max="9471" width="12.85546875" style="217" customWidth="1"/>
    <col min="9472" max="9472" width="3.5703125" style="217" customWidth="1"/>
    <col min="9473" max="9473" width="16.5703125" style="217" bestFit="1" customWidth="1"/>
    <col min="9474" max="9474" width="9.140625" style="217"/>
    <col min="9475" max="9475" width="3.5703125" style="217" customWidth="1"/>
    <col min="9476" max="9476" width="15.42578125" style="217" customWidth="1"/>
    <col min="9477" max="9478" width="9.140625" style="217"/>
    <col min="9479" max="9479" width="23.7109375" style="217" customWidth="1"/>
    <col min="9480" max="9723" width="9.140625" style="217"/>
    <col min="9724" max="9724" width="13.140625" style="217" customWidth="1"/>
    <col min="9725" max="9725" width="18.28515625" style="217" customWidth="1"/>
    <col min="9726" max="9726" width="14.28515625" style="217" customWidth="1"/>
    <col min="9727" max="9727" width="12.85546875" style="217" customWidth="1"/>
    <col min="9728" max="9728" width="3.5703125" style="217" customWidth="1"/>
    <col min="9729" max="9729" width="16.5703125" style="217" bestFit="1" customWidth="1"/>
    <col min="9730" max="9730" width="9.140625" style="217"/>
    <col min="9731" max="9731" width="3.5703125" style="217" customWidth="1"/>
    <col min="9732" max="9732" width="15.42578125" style="217" customWidth="1"/>
    <col min="9733" max="9734" width="9.140625" style="217"/>
    <col min="9735" max="9735" width="23.7109375" style="217" customWidth="1"/>
    <col min="9736" max="9979" width="9.140625" style="217"/>
    <col min="9980" max="9980" width="13.140625" style="217" customWidth="1"/>
    <col min="9981" max="9981" width="18.28515625" style="217" customWidth="1"/>
    <col min="9982" max="9982" width="14.28515625" style="217" customWidth="1"/>
    <col min="9983" max="9983" width="12.85546875" style="217" customWidth="1"/>
    <col min="9984" max="9984" width="3.5703125" style="217" customWidth="1"/>
    <col min="9985" max="9985" width="16.5703125" style="217" bestFit="1" customWidth="1"/>
    <col min="9986" max="9986" width="9.140625" style="217"/>
    <col min="9987" max="9987" width="3.5703125" style="217" customWidth="1"/>
    <col min="9988" max="9988" width="15.42578125" style="217" customWidth="1"/>
    <col min="9989" max="9990" width="9.140625" style="217"/>
    <col min="9991" max="9991" width="23.7109375" style="217" customWidth="1"/>
    <col min="9992" max="10235" width="9.140625" style="217"/>
    <col min="10236" max="10236" width="13.140625" style="217" customWidth="1"/>
    <col min="10237" max="10237" width="18.28515625" style="217" customWidth="1"/>
    <col min="10238" max="10238" width="14.28515625" style="217" customWidth="1"/>
    <col min="10239" max="10239" width="12.85546875" style="217" customWidth="1"/>
    <col min="10240" max="10240" width="3.5703125" style="217" customWidth="1"/>
    <col min="10241" max="10241" width="16.5703125" style="217" bestFit="1" customWidth="1"/>
    <col min="10242" max="10242" width="9.140625" style="217"/>
    <col min="10243" max="10243" width="3.5703125" style="217" customWidth="1"/>
    <col min="10244" max="10244" width="15.42578125" style="217" customWidth="1"/>
    <col min="10245" max="10246" width="9.140625" style="217"/>
    <col min="10247" max="10247" width="23.7109375" style="217" customWidth="1"/>
    <col min="10248" max="10491" width="9.140625" style="217"/>
    <col min="10492" max="10492" width="13.140625" style="217" customWidth="1"/>
    <col min="10493" max="10493" width="18.28515625" style="217" customWidth="1"/>
    <col min="10494" max="10494" width="14.28515625" style="217" customWidth="1"/>
    <col min="10495" max="10495" width="12.85546875" style="217" customWidth="1"/>
    <col min="10496" max="10496" width="3.5703125" style="217" customWidth="1"/>
    <col min="10497" max="10497" width="16.5703125" style="217" bestFit="1" customWidth="1"/>
    <col min="10498" max="10498" width="9.140625" style="217"/>
    <col min="10499" max="10499" width="3.5703125" style="217" customWidth="1"/>
    <col min="10500" max="10500" width="15.42578125" style="217" customWidth="1"/>
    <col min="10501" max="10502" width="9.140625" style="217"/>
    <col min="10503" max="10503" width="23.7109375" style="217" customWidth="1"/>
    <col min="10504" max="10747" width="9.140625" style="217"/>
    <col min="10748" max="10748" width="13.140625" style="217" customWidth="1"/>
    <col min="10749" max="10749" width="18.28515625" style="217" customWidth="1"/>
    <col min="10750" max="10750" width="14.28515625" style="217" customWidth="1"/>
    <col min="10751" max="10751" width="12.85546875" style="217" customWidth="1"/>
    <col min="10752" max="10752" width="3.5703125" style="217" customWidth="1"/>
    <col min="10753" max="10753" width="16.5703125" style="217" bestFit="1" customWidth="1"/>
    <col min="10754" max="10754" width="9.140625" style="217"/>
    <col min="10755" max="10755" width="3.5703125" style="217" customWidth="1"/>
    <col min="10756" max="10756" width="15.42578125" style="217" customWidth="1"/>
    <col min="10757" max="10758" width="9.140625" style="217"/>
    <col min="10759" max="10759" width="23.7109375" style="217" customWidth="1"/>
    <col min="10760" max="11003" width="9.140625" style="217"/>
    <col min="11004" max="11004" width="13.140625" style="217" customWidth="1"/>
    <col min="11005" max="11005" width="18.28515625" style="217" customWidth="1"/>
    <col min="11006" max="11006" width="14.28515625" style="217" customWidth="1"/>
    <col min="11007" max="11007" width="12.85546875" style="217" customWidth="1"/>
    <col min="11008" max="11008" width="3.5703125" style="217" customWidth="1"/>
    <col min="11009" max="11009" width="16.5703125" style="217" bestFit="1" customWidth="1"/>
    <col min="11010" max="11010" width="9.140625" style="217"/>
    <col min="11011" max="11011" width="3.5703125" style="217" customWidth="1"/>
    <col min="11012" max="11012" width="15.42578125" style="217" customWidth="1"/>
    <col min="11013" max="11014" width="9.140625" style="217"/>
    <col min="11015" max="11015" width="23.7109375" style="217" customWidth="1"/>
    <col min="11016" max="11259" width="9.140625" style="217"/>
    <col min="11260" max="11260" width="13.140625" style="217" customWidth="1"/>
    <col min="11261" max="11261" width="18.28515625" style="217" customWidth="1"/>
    <col min="11262" max="11262" width="14.28515625" style="217" customWidth="1"/>
    <col min="11263" max="11263" width="12.85546875" style="217" customWidth="1"/>
    <col min="11264" max="11264" width="3.5703125" style="217" customWidth="1"/>
    <col min="11265" max="11265" width="16.5703125" style="217" bestFit="1" customWidth="1"/>
    <col min="11266" max="11266" width="9.140625" style="217"/>
    <col min="11267" max="11267" width="3.5703125" style="217" customWidth="1"/>
    <col min="11268" max="11268" width="15.42578125" style="217" customWidth="1"/>
    <col min="11269" max="11270" width="9.140625" style="217"/>
    <col min="11271" max="11271" width="23.7109375" style="217" customWidth="1"/>
    <col min="11272" max="11515" width="9.140625" style="217"/>
    <col min="11516" max="11516" width="13.140625" style="217" customWidth="1"/>
    <col min="11517" max="11517" width="18.28515625" style="217" customWidth="1"/>
    <col min="11518" max="11518" width="14.28515625" style="217" customWidth="1"/>
    <col min="11519" max="11519" width="12.85546875" style="217" customWidth="1"/>
    <col min="11520" max="11520" width="3.5703125" style="217" customWidth="1"/>
    <col min="11521" max="11521" width="16.5703125" style="217" bestFit="1" customWidth="1"/>
    <col min="11522" max="11522" width="9.140625" style="217"/>
    <col min="11523" max="11523" width="3.5703125" style="217" customWidth="1"/>
    <col min="11524" max="11524" width="15.42578125" style="217" customWidth="1"/>
    <col min="11525" max="11526" width="9.140625" style="217"/>
    <col min="11527" max="11527" width="23.7109375" style="217" customWidth="1"/>
    <col min="11528" max="11771" width="9.140625" style="217"/>
    <col min="11772" max="11772" width="13.140625" style="217" customWidth="1"/>
    <col min="11773" max="11773" width="18.28515625" style="217" customWidth="1"/>
    <col min="11774" max="11774" width="14.28515625" style="217" customWidth="1"/>
    <col min="11775" max="11775" width="12.85546875" style="217" customWidth="1"/>
    <col min="11776" max="11776" width="3.5703125" style="217" customWidth="1"/>
    <col min="11777" max="11777" width="16.5703125" style="217" bestFit="1" customWidth="1"/>
    <col min="11778" max="11778" width="9.140625" style="217"/>
    <col min="11779" max="11779" width="3.5703125" style="217" customWidth="1"/>
    <col min="11780" max="11780" width="15.42578125" style="217" customWidth="1"/>
    <col min="11781" max="11782" width="9.140625" style="217"/>
    <col min="11783" max="11783" width="23.7109375" style="217" customWidth="1"/>
    <col min="11784" max="12027" width="9.140625" style="217"/>
    <col min="12028" max="12028" width="13.140625" style="217" customWidth="1"/>
    <col min="12029" max="12029" width="18.28515625" style="217" customWidth="1"/>
    <col min="12030" max="12030" width="14.28515625" style="217" customWidth="1"/>
    <col min="12031" max="12031" width="12.85546875" style="217" customWidth="1"/>
    <col min="12032" max="12032" width="3.5703125" style="217" customWidth="1"/>
    <col min="12033" max="12033" width="16.5703125" style="217" bestFit="1" customWidth="1"/>
    <col min="12034" max="12034" width="9.140625" style="217"/>
    <col min="12035" max="12035" width="3.5703125" style="217" customWidth="1"/>
    <col min="12036" max="12036" width="15.42578125" style="217" customWidth="1"/>
    <col min="12037" max="12038" width="9.140625" style="217"/>
    <col min="12039" max="12039" width="23.7109375" style="217" customWidth="1"/>
    <col min="12040" max="12283" width="9.140625" style="217"/>
    <col min="12284" max="12284" width="13.140625" style="217" customWidth="1"/>
    <col min="12285" max="12285" width="18.28515625" style="217" customWidth="1"/>
    <col min="12286" max="12286" width="14.28515625" style="217" customWidth="1"/>
    <col min="12287" max="12287" width="12.85546875" style="217" customWidth="1"/>
    <col min="12288" max="12288" width="3.5703125" style="217" customWidth="1"/>
    <col min="12289" max="12289" width="16.5703125" style="217" bestFit="1" customWidth="1"/>
    <col min="12290" max="12290" width="9.140625" style="217"/>
    <col min="12291" max="12291" width="3.5703125" style="217" customWidth="1"/>
    <col min="12292" max="12292" width="15.42578125" style="217" customWidth="1"/>
    <col min="12293" max="12294" width="9.140625" style="217"/>
    <col min="12295" max="12295" width="23.7109375" style="217" customWidth="1"/>
    <col min="12296" max="12539" width="9.140625" style="217"/>
    <col min="12540" max="12540" width="13.140625" style="217" customWidth="1"/>
    <col min="12541" max="12541" width="18.28515625" style="217" customWidth="1"/>
    <col min="12542" max="12542" width="14.28515625" style="217" customWidth="1"/>
    <col min="12543" max="12543" width="12.85546875" style="217" customWidth="1"/>
    <col min="12544" max="12544" width="3.5703125" style="217" customWidth="1"/>
    <col min="12545" max="12545" width="16.5703125" style="217" bestFit="1" customWidth="1"/>
    <col min="12546" max="12546" width="9.140625" style="217"/>
    <col min="12547" max="12547" width="3.5703125" style="217" customWidth="1"/>
    <col min="12548" max="12548" width="15.42578125" style="217" customWidth="1"/>
    <col min="12549" max="12550" width="9.140625" style="217"/>
    <col min="12551" max="12551" width="23.7109375" style="217" customWidth="1"/>
    <col min="12552" max="12795" width="9.140625" style="217"/>
    <col min="12796" max="12796" width="13.140625" style="217" customWidth="1"/>
    <col min="12797" max="12797" width="18.28515625" style="217" customWidth="1"/>
    <col min="12798" max="12798" width="14.28515625" style="217" customWidth="1"/>
    <col min="12799" max="12799" width="12.85546875" style="217" customWidth="1"/>
    <col min="12800" max="12800" width="3.5703125" style="217" customWidth="1"/>
    <col min="12801" max="12801" width="16.5703125" style="217" bestFit="1" customWidth="1"/>
    <col min="12802" max="12802" width="9.140625" style="217"/>
    <col min="12803" max="12803" width="3.5703125" style="217" customWidth="1"/>
    <col min="12804" max="12804" width="15.42578125" style="217" customWidth="1"/>
    <col min="12805" max="12806" width="9.140625" style="217"/>
    <col min="12807" max="12807" width="23.7109375" style="217" customWidth="1"/>
    <col min="12808" max="13051" width="9.140625" style="217"/>
    <col min="13052" max="13052" width="13.140625" style="217" customWidth="1"/>
    <col min="13053" max="13053" width="18.28515625" style="217" customWidth="1"/>
    <col min="13054" max="13054" width="14.28515625" style="217" customWidth="1"/>
    <col min="13055" max="13055" width="12.85546875" style="217" customWidth="1"/>
    <col min="13056" max="13056" width="3.5703125" style="217" customWidth="1"/>
    <col min="13057" max="13057" width="16.5703125" style="217" bestFit="1" customWidth="1"/>
    <col min="13058" max="13058" width="9.140625" style="217"/>
    <col min="13059" max="13059" width="3.5703125" style="217" customWidth="1"/>
    <col min="13060" max="13060" width="15.42578125" style="217" customWidth="1"/>
    <col min="13061" max="13062" width="9.140625" style="217"/>
    <col min="13063" max="13063" width="23.7109375" style="217" customWidth="1"/>
    <col min="13064" max="13307" width="9.140625" style="217"/>
    <col min="13308" max="13308" width="13.140625" style="217" customWidth="1"/>
    <col min="13309" max="13309" width="18.28515625" style="217" customWidth="1"/>
    <col min="13310" max="13310" width="14.28515625" style="217" customWidth="1"/>
    <col min="13311" max="13311" width="12.85546875" style="217" customWidth="1"/>
    <col min="13312" max="13312" width="3.5703125" style="217" customWidth="1"/>
    <col min="13313" max="13313" width="16.5703125" style="217" bestFit="1" customWidth="1"/>
    <col min="13314" max="13314" width="9.140625" style="217"/>
    <col min="13315" max="13315" width="3.5703125" style="217" customWidth="1"/>
    <col min="13316" max="13316" width="15.42578125" style="217" customWidth="1"/>
    <col min="13317" max="13318" width="9.140625" style="217"/>
    <col min="13319" max="13319" width="23.7109375" style="217" customWidth="1"/>
    <col min="13320" max="13563" width="9.140625" style="217"/>
    <col min="13564" max="13564" width="13.140625" style="217" customWidth="1"/>
    <col min="13565" max="13565" width="18.28515625" style="217" customWidth="1"/>
    <col min="13566" max="13566" width="14.28515625" style="217" customWidth="1"/>
    <col min="13567" max="13567" width="12.85546875" style="217" customWidth="1"/>
    <col min="13568" max="13568" width="3.5703125" style="217" customWidth="1"/>
    <col min="13569" max="13569" width="16.5703125" style="217" bestFit="1" customWidth="1"/>
    <col min="13570" max="13570" width="9.140625" style="217"/>
    <col min="13571" max="13571" width="3.5703125" style="217" customWidth="1"/>
    <col min="13572" max="13572" width="15.42578125" style="217" customWidth="1"/>
    <col min="13573" max="13574" width="9.140625" style="217"/>
    <col min="13575" max="13575" width="23.7109375" style="217" customWidth="1"/>
    <col min="13576" max="13819" width="9.140625" style="217"/>
    <col min="13820" max="13820" width="13.140625" style="217" customWidth="1"/>
    <col min="13821" max="13821" width="18.28515625" style="217" customWidth="1"/>
    <col min="13822" max="13822" width="14.28515625" style="217" customWidth="1"/>
    <col min="13823" max="13823" width="12.85546875" style="217" customWidth="1"/>
    <col min="13824" max="13824" width="3.5703125" style="217" customWidth="1"/>
    <col min="13825" max="13825" width="16.5703125" style="217" bestFit="1" customWidth="1"/>
    <col min="13826" max="13826" width="9.140625" style="217"/>
    <col min="13827" max="13827" width="3.5703125" style="217" customWidth="1"/>
    <col min="13828" max="13828" width="15.42578125" style="217" customWidth="1"/>
    <col min="13829" max="13830" width="9.140625" style="217"/>
    <col min="13831" max="13831" width="23.7109375" style="217" customWidth="1"/>
    <col min="13832" max="14075" width="9.140625" style="217"/>
    <col min="14076" max="14076" width="13.140625" style="217" customWidth="1"/>
    <col min="14077" max="14077" width="18.28515625" style="217" customWidth="1"/>
    <col min="14078" max="14078" width="14.28515625" style="217" customWidth="1"/>
    <col min="14079" max="14079" width="12.85546875" style="217" customWidth="1"/>
    <col min="14080" max="14080" width="3.5703125" style="217" customWidth="1"/>
    <col min="14081" max="14081" width="16.5703125" style="217" bestFit="1" customWidth="1"/>
    <col min="14082" max="14082" width="9.140625" style="217"/>
    <col min="14083" max="14083" width="3.5703125" style="217" customWidth="1"/>
    <col min="14084" max="14084" width="15.42578125" style="217" customWidth="1"/>
    <col min="14085" max="14086" width="9.140625" style="217"/>
    <col min="14087" max="14087" width="23.7109375" style="217" customWidth="1"/>
    <col min="14088" max="14331" width="9.140625" style="217"/>
    <col min="14332" max="14332" width="13.140625" style="217" customWidth="1"/>
    <col min="14333" max="14333" width="18.28515625" style="217" customWidth="1"/>
    <col min="14334" max="14334" width="14.28515625" style="217" customWidth="1"/>
    <col min="14335" max="14335" width="12.85546875" style="217" customWidth="1"/>
    <col min="14336" max="14336" width="3.5703125" style="217" customWidth="1"/>
    <col min="14337" max="14337" width="16.5703125" style="217" bestFit="1" customWidth="1"/>
    <col min="14338" max="14338" width="9.140625" style="217"/>
    <col min="14339" max="14339" width="3.5703125" style="217" customWidth="1"/>
    <col min="14340" max="14340" width="15.42578125" style="217" customWidth="1"/>
    <col min="14341" max="14342" width="9.140625" style="217"/>
    <col min="14343" max="14343" width="23.7109375" style="217" customWidth="1"/>
    <col min="14344" max="14587" width="9.140625" style="217"/>
    <col min="14588" max="14588" width="13.140625" style="217" customWidth="1"/>
    <col min="14589" max="14589" width="18.28515625" style="217" customWidth="1"/>
    <col min="14590" max="14590" width="14.28515625" style="217" customWidth="1"/>
    <col min="14591" max="14591" width="12.85546875" style="217" customWidth="1"/>
    <col min="14592" max="14592" width="3.5703125" style="217" customWidth="1"/>
    <col min="14593" max="14593" width="16.5703125" style="217" bestFit="1" customWidth="1"/>
    <col min="14594" max="14594" width="9.140625" style="217"/>
    <col min="14595" max="14595" width="3.5703125" style="217" customWidth="1"/>
    <col min="14596" max="14596" width="15.42578125" style="217" customWidth="1"/>
    <col min="14597" max="14598" width="9.140625" style="217"/>
    <col min="14599" max="14599" width="23.7109375" style="217" customWidth="1"/>
    <col min="14600" max="14843" width="9.140625" style="217"/>
    <col min="14844" max="14844" width="13.140625" style="217" customWidth="1"/>
    <col min="14845" max="14845" width="18.28515625" style="217" customWidth="1"/>
    <col min="14846" max="14846" width="14.28515625" style="217" customWidth="1"/>
    <col min="14847" max="14847" width="12.85546875" style="217" customWidth="1"/>
    <col min="14848" max="14848" width="3.5703125" style="217" customWidth="1"/>
    <col min="14849" max="14849" width="16.5703125" style="217" bestFit="1" customWidth="1"/>
    <col min="14850" max="14850" width="9.140625" style="217"/>
    <col min="14851" max="14851" width="3.5703125" style="217" customWidth="1"/>
    <col min="14852" max="14852" width="15.42578125" style="217" customWidth="1"/>
    <col min="14853" max="14854" width="9.140625" style="217"/>
    <col min="14855" max="14855" width="23.7109375" style="217" customWidth="1"/>
    <col min="14856" max="15099" width="9.140625" style="217"/>
    <col min="15100" max="15100" width="13.140625" style="217" customWidth="1"/>
    <col min="15101" max="15101" width="18.28515625" style="217" customWidth="1"/>
    <col min="15102" max="15102" width="14.28515625" style="217" customWidth="1"/>
    <col min="15103" max="15103" width="12.85546875" style="217" customWidth="1"/>
    <col min="15104" max="15104" width="3.5703125" style="217" customWidth="1"/>
    <col min="15105" max="15105" width="16.5703125" style="217" bestFit="1" customWidth="1"/>
    <col min="15106" max="15106" width="9.140625" style="217"/>
    <col min="15107" max="15107" width="3.5703125" style="217" customWidth="1"/>
    <col min="15108" max="15108" width="15.42578125" style="217" customWidth="1"/>
    <col min="15109" max="15110" width="9.140625" style="217"/>
    <col min="15111" max="15111" width="23.7109375" style="217" customWidth="1"/>
    <col min="15112" max="15355" width="9.140625" style="217"/>
    <col min="15356" max="15356" width="13.140625" style="217" customWidth="1"/>
    <col min="15357" max="15357" width="18.28515625" style="217" customWidth="1"/>
    <col min="15358" max="15358" width="14.28515625" style="217" customWidth="1"/>
    <col min="15359" max="15359" width="12.85546875" style="217" customWidth="1"/>
    <col min="15360" max="15360" width="3.5703125" style="217" customWidth="1"/>
    <col min="15361" max="15361" width="16.5703125" style="217" bestFit="1" customWidth="1"/>
    <col min="15362" max="15362" width="9.140625" style="217"/>
    <col min="15363" max="15363" width="3.5703125" style="217" customWidth="1"/>
    <col min="15364" max="15364" width="15.42578125" style="217" customWidth="1"/>
    <col min="15365" max="15366" width="9.140625" style="217"/>
    <col min="15367" max="15367" width="23.7109375" style="217" customWidth="1"/>
    <col min="15368" max="15611" width="9.140625" style="217"/>
    <col min="15612" max="15612" width="13.140625" style="217" customWidth="1"/>
    <col min="15613" max="15613" width="18.28515625" style="217" customWidth="1"/>
    <col min="15614" max="15614" width="14.28515625" style="217" customWidth="1"/>
    <col min="15615" max="15615" width="12.85546875" style="217" customWidth="1"/>
    <col min="15616" max="15616" width="3.5703125" style="217" customWidth="1"/>
    <col min="15617" max="15617" width="16.5703125" style="217" bestFit="1" customWidth="1"/>
    <col min="15618" max="15618" width="9.140625" style="217"/>
    <col min="15619" max="15619" width="3.5703125" style="217" customWidth="1"/>
    <col min="15620" max="15620" width="15.42578125" style="217" customWidth="1"/>
    <col min="15621" max="15622" width="9.140625" style="217"/>
    <col min="15623" max="15623" width="23.7109375" style="217" customWidth="1"/>
    <col min="15624" max="15867" width="9.140625" style="217"/>
    <col min="15868" max="15868" width="13.140625" style="217" customWidth="1"/>
    <col min="15869" max="15869" width="18.28515625" style="217" customWidth="1"/>
    <col min="15870" max="15870" width="14.28515625" style="217" customWidth="1"/>
    <col min="15871" max="15871" width="12.85546875" style="217" customWidth="1"/>
    <col min="15872" max="15872" width="3.5703125" style="217" customWidth="1"/>
    <col min="15873" max="15873" width="16.5703125" style="217" bestFit="1" customWidth="1"/>
    <col min="15874" max="15874" width="9.140625" style="217"/>
    <col min="15875" max="15875" width="3.5703125" style="217" customWidth="1"/>
    <col min="15876" max="15876" width="15.42578125" style="217" customWidth="1"/>
    <col min="15877" max="15878" width="9.140625" style="217"/>
    <col min="15879" max="15879" width="23.7109375" style="217" customWidth="1"/>
    <col min="15880" max="16123" width="9.140625" style="217"/>
    <col min="16124" max="16124" width="13.140625" style="217" customWidth="1"/>
    <col min="16125" max="16125" width="18.28515625" style="217" customWidth="1"/>
    <col min="16126" max="16126" width="14.28515625" style="217" customWidth="1"/>
    <col min="16127" max="16127" width="12.85546875" style="217" customWidth="1"/>
    <col min="16128" max="16128" width="3.5703125" style="217" customWidth="1"/>
    <col min="16129" max="16129" width="16.5703125" style="217" bestFit="1" customWidth="1"/>
    <col min="16130" max="16130" width="9.140625" style="217"/>
    <col min="16131" max="16131" width="3.5703125" style="217" customWidth="1"/>
    <col min="16132" max="16132" width="15.42578125" style="217" customWidth="1"/>
    <col min="16133" max="16134" width="9.140625" style="217"/>
    <col min="16135" max="16135" width="23.7109375" style="217" customWidth="1"/>
    <col min="16136" max="16384" width="9.140625" style="217"/>
  </cols>
  <sheetData>
    <row r="1" spans="1:11" s="201" customFormat="1" ht="18" x14ac:dyDescent="0.35">
      <c r="A1" s="461" t="s">
        <v>305</v>
      </c>
      <c r="B1" s="461"/>
      <c r="C1" s="461"/>
      <c r="D1" s="461"/>
      <c r="E1" s="461"/>
      <c r="F1" s="461"/>
      <c r="G1" s="461"/>
      <c r="H1" s="461"/>
      <c r="I1" s="461"/>
      <c r="J1" s="461"/>
    </row>
    <row r="2" spans="1:11" s="202" customFormat="1" ht="18" x14ac:dyDescent="0.35">
      <c r="A2" s="457" t="s">
        <v>2</v>
      </c>
      <c r="B2" s="457"/>
      <c r="C2" s="457"/>
      <c r="D2" s="457"/>
      <c r="E2" s="457"/>
      <c r="F2" s="457"/>
      <c r="G2" s="457"/>
      <c r="H2" s="457"/>
      <c r="I2" s="457"/>
      <c r="J2" s="457"/>
    </row>
    <row r="3" spans="1:11" s="201" customFormat="1" ht="18" x14ac:dyDescent="0.35">
      <c r="A3" s="462" t="s">
        <v>359</v>
      </c>
      <c r="B3" s="462"/>
      <c r="C3" s="462"/>
      <c r="D3" s="462"/>
      <c r="E3" s="462"/>
      <c r="F3" s="462"/>
      <c r="G3" s="462"/>
      <c r="H3" s="462"/>
      <c r="I3" s="462"/>
      <c r="J3" s="462"/>
    </row>
    <row r="4" spans="1:11" s="201" customFormat="1" ht="18" x14ac:dyDescent="0.35">
      <c r="A4" s="461" t="s">
        <v>396</v>
      </c>
      <c r="B4" s="461"/>
      <c r="C4" s="461"/>
      <c r="D4" s="461"/>
      <c r="E4" s="461"/>
      <c r="F4" s="461"/>
      <c r="G4" s="461"/>
      <c r="H4" s="461"/>
      <c r="I4" s="461"/>
      <c r="J4" s="461"/>
    </row>
    <row r="5" spans="1:11" s="203" customFormat="1" ht="15" x14ac:dyDescent="0.3">
      <c r="B5" s="204"/>
      <c r="C5" s="204"/>
      <c r="D5" s="204"/>
      <c r="E5" s="204"/>
      <c r="F5" s="204"/>
      <c r="G5" s="204"/>
      <c r="H5" s="204"/>
      <c r="I5" s="204"/>
      <c r="J5" s="204"/>
    </row>
    <row r="6" spans="1:11" s="188" customFormat="1" ht="60" x14ac:dyDescent="0.3">
      <c r="A6" s="205" t="s">
        <v>306</v>
      </c>
      <c r="B6" s="206" t="s">
        <v>40</v>
      </c>
      <c r="C6" s="206" t="s">
        <v>307</v>
      </c>
      <c r="D6" s="206" t="s">
        <v>308</v>
      </c>
      <c r="E6" s="206"/>
      <c r="F6" s="206" t="s">
        <v>309</v>
      </c>
      <c r="G6" s="206" t="s">
        <v>307</v>
      </c>
      <c r="H6" s="206"/>
      <c r="I6" s="206" t="s">
        <v>310</v>
      </c>
      <c r="J6" s="206" t="s">
        <v>307</v>
      </c>
      <c r="K6" s="207"/>
    </row>
    <row r="7" spans="1:11" s="188" customFormat="1" ht="15" x14ac:dyDescent="0.3">
      <c r="A7" s="188" t="s">
        <v>311</v>
      </c>
      <c r="B7" s="428">
        <v>11596523640.299999</v>
      </c>
      <c r="C7" s="190" t="s">
        <v>214</v>
      </c>
      <c r="D7" s="193">
        <v>2.6387194505680049E-2</v>
      </c>
      <c r="E7" s="190"/>
      <c r="F7" s="428">
        <f t="shared" ref="F7:F17" si="0">B7-I7</f>
        <v>11285813508.259998</v>
      </c>
      <c r="G7" s="190" t="s">
        <v>214</v>
      </c>
      <c r="H7" s="190"/>
      <c r="I7" s="428">
        <f>152078028.51+1161094.88+9151279.28+88362.74+148231366.63</f>
        <v>310710132.03999996</v>
      </c>
      <c r="J7" s="190" t="s">
        <v>214</v>
      </c>
    </row>
    <row r="8" spans="1:11" s="188" customFormat="1" ht="15" x14ac:dyDescent="0.3">
      <c r="A8" s="188" t="s">
        <v>312</v>
      </c>
      <c r="B8" s="428">
        <v>12623281487.15</v>
      </c>
      <c r="C8" s="193">
        <f t="shared" ref="C8:C17" si="1">(B8-B7)/B7</f>
        <v>8.8540141744016518E-2</v>
      </c>
      <c r="D8" s="193">
        <v>5.5056962069309066E-2</v>
      </c>
      <c r="E8" s="190"/>
      <c r="F8" s="428">
        <f t="shared" si="0"/>
        <v>11980091638.1</v>
      </c>
      <c r="G8" s="193">
        <f t="shared" ref="G8:G17" si="2">(F8-F7)/F7</f>
        <v>6.1517774445932968E-2</v>
      </c>
      <c r="H8" s="190"/>
      <c r="I8" s="428">
        <f>178042694.94+1776419.31+3167571.82+657687.73+459545475.25</f>
        <v>643189849.04999995</v>
      </c>
      <c r="J8" s="193">
        <f t="shared" ref="J8:J17" si="3">(I8-I7)/I7</f>
        <v>1.0700639687127984</v>
      </c>
    </row>
    <row r="9" spans="1:11" s="188" customFormat="1" ht="15" x14ac:dyDescent="0.3">
      <c r="A9" s="188" t="s">
        <v>285</v>
      </c>
      <c r="B9" s="428">
        <v>12838121598.02</v>
      </c>
      <c r="C9" s="193">
        <f t="shared" si="1"/>
        <v>1.7019355156478098E-2</v>
      </c>
      <c r="D9" s="193">
        <v>5.1199502817240866E-2</v>
      </c>
      <c r="E9" s="190"/>
      <c r="F9" s="428">
        <f t="shared" si="0"/>
        <v>12506314221.02</v>
      </c>
      <c r="G9" s="193">
        <f t="shared" si="2"/>
        <v>4.3924754402250722E-2</v>
      </c>
      <c r="H9" s="190"/>
      <c r="I9" s="428">
        <f>162629600.77+2093104.93+18001042.81+1043317.66+148040310.83</f>
        <v>331807377</v>
      </c>
      <c r="J9" s="193">
        <f t="shared" si="3"/>
        <v>-0.48412218027059356</v>
      </c>
    </row>
    <row r="10" spans="1:11" s="188" customFormat="1" ht="15" x14ac:dyDescent="0.3">
      <c r="A10" s="188" t="s">
        <v>286</v>
      </c>
      <c r="B10" s="428">
        <v>13270350501.809999</v>
      </c>
      <c r="C10" s="193">
        <f t="shared" si="1"/>
        <v>3.3667612546734317E-2</v>
      </c>
      <c r="D10" s="193">
        <v>3.6190129005740264E-2</v>
      </c>
      <c r="E10" s="190"/>
      <c r="F10" s="428">
        <f t="shared" si="0"/>
        <v>12870681734.07</v>
      </c>
      <c r="G10" s="193">
        <f t="shared" si="2"/>
        <v>2.9134684017261311E-2</v>
      </c>
      <c r="H10" s="190"/>
      <c r="I10" s="428">
        <f>202820588.32+1928230.79+5139528.51+158947.85+189621472.27</f>
        <v>399668767.74000001</v>
      </c>
      <c r="J10" s="193">
        <f t="shared" si="3"/>
        <v>0.20452044000215225</v>
      </c>
    </row>
    <row r="11" spans="1:11" s="188" customFormat="1" ht="15" x14ac:dyDescent="0.3">
      <c r="A11" s="188" t="s">
        <v>287</v>
      </c>
      <c r="B11" s="428">
        <v>14214358527.1</v>
      </c>
      <c r="C11" s="193">
        <f t="shared" si="1"/>
        <v>7.1136630879587062E-2</v>
      </c>
      <c r="D11" s="193">
        <v>1.4257956719077225E-2</v>
      </c>
      <c r="E11" s="190"/>
      <c r="F11" s="428">
        <f t="shared" si="0"/>
        <v>13700990052.99</v>
      </c>
      <c r="G11" s="193">
        <f t="shared" si="2"/>
        <v>6.4511603664481096E-2</v>
      </c>
      <c r="H11" s="190"/>
      <c r="I11" s="428">
        <f>268376807.02+1319150.85-1741045.6-20000+245433561.84</f>
        <v>513368474.11000001</v>
      </c>
      <c r="J11" s="193">
        <f t="shared" si="3"/>
        <v>0.28448484231814197</v>
      </c>
    </row>
    <row r="12" spans="1:11" s="188" customFormat="1" ht="15" x14ac:dyDescent="0.3">
      <c r="A12" s="188" t="s">
        <v>288</v>
      </c>
      <c r="B12" s="428">
        <v>12643008322.629999</v>
      </c>
      <c r="C12" s="193">
        <f t="shared" si="1"/>
        <v>-0.11054668428928298</v>
      </c>
      <c r="D12" s="193">
        <v>1.289467838590908E-2</v>
      </c>
      <c r="E12" s="190"/>
      <c r="F12" s="428">
        <f t="shared" si="0"/>
        <v>12270499652.789999</v>
      </c>
      <c r="G12" s="193">
        <f t="shared" si="2"/>
        <v>-0.10440781247686706</v>
      </c>
      <c r="H12" s="190"/>
      <c r="I12" s="428">
        <v>372508669.83999997</v>
      </c>
      <c r="J12" s="193">
        <f t="shared" si="3"/>
        <v>-0.27438343290207157</v>
      </c>
    </row>
    <row r="13" spans="1:11" s="188" customFormat="1" ht="15" x14ac:dyDescent="0.3">
      <c r="A13" s="188" t="s">
        <v>313</v>
      </c>
      <c r="B13" s="428">
        <v>13303105673.719999</v>
      </c>
      <c r="C13" s="193">
        <f t="shared" si="1"/>
        <v>5.2210465598482393E-2</v>
      </c>
      <c r="D13" s="193">
        <v>2.7507407085780897E-2</v>
      </c>
      <c r="E13" s="190"/>
      <c r="F13" s="428">
        <f t="shared" si="0"/>
        <v>13042329217.84</v>
      </c>
      <c r="G13" s="193">
        <f t="shared" si="2"/>
        <v>6.2901233600092782E-2</v>
      </c>
      <c r="H13" s="190"/>
      <c r="I13" s="428">
        <v>260776455.88</v>
      </c>
      <c r="J13" s="193">
        <f t="shared" si="3"/>
        <v>-0.29994527109393515</v>
      </c>
    </row>
    <row r="14" spans="1:11" s="188" customFormat="1" ht="15" x14ac:dyDescent="0.3">
      <c r="A14" s="188" t="s">
        <v>314</v>
      </c>
      <c r="B14" s="428">
        <v>13744373932</v>
      </c>
      <c r="C14" s="193">
        <f t="shared" si="1"/>
        <v>3.3170318954296264E-2</v>
      </c>
      <c r="D14" s="193">
        <v>4.5629651275498756E-2</v>
      </c>
      <c r="E14" s="190"/>
      <c r="F14" s="428">
        <f t="shared" si="0"/>
        <v>13462749638.33</v>
      </c>
      <c r="G14" s="193">
        <f t="shared" si="2"/>
        <v>3.2235071931394438E-2</v>
      </c>
      <c r="H14" s="190"/>
      <c r="I14" s="428">
        <v>281624293.67000002</v>
      </c>
      <c r="J14" s="193">
        <f t="shared" si="3"/>
        <v>7.9945245515543981E-2</v>
      </c>
    </row>
    <row r="15" spans="1:11" s="188" customFormat="1" ht="15" x14ac:dyDescent="0.3">
      <c r="A15" s="188" t="s">
        <v>315</v>
      </c>
      <c r="B15" s="428">
        <f>13771114174</f>
        <v>13771114174</v>
      </c>
      <c r="C15" s="193">
        <f t="shared" si="1"/>
        <v>1.9455409269492218E-3</v>
      </c>
      <c r="D15" s="193">
        <v>3.5000000000000003E-2</v>
      </c>
      <c r="E15" s="190"/>
      <c r="F15" s="428">
        <f t="shared" si="0"/>
        <v>13538963505.98</v>
      </c>
      <c r="G15" s="193">
        <f t="shared" si="2"/>
        <v>5.661092250650636E-3</v>
      </c>
      <c r="H15" s="190"/>
      <c r="I15" s="428">
        <f>222350186.62+34189.4+9766292</f>
        <v>232150668.02000001</v>
      </c>
      <c r="J15" s="193">
        <f t="shared" si="3"/>
        <v>-0.17567243580190531</v>
      </c>
    </row>
    <row r="16" spans="1:11" s="188" customFormat="1" ht="15" x14ac:dyDescent="0.3">
      <c r="A16" s="188" t="s">
        <v>316</v>
      </c>
      <c r="B16" s="428">
        <f>14170606492</f>
        <v>14170606492</v>
      </c>
      <c r="C16" s="193">
        <f t="shared" si="1"/>
        <v>2.9009440554508326E-2</v>
      </c>
      <c r="D16" s="193">
        <v>0.03</v>
      </c>
      <c r="E16" s="190"/>
      <c r="F16" s="428">
        <f t="shared" si="0"/>
        <v>13869275863.889999</v>
      </c>
      <c r="G16" s="193">
        <f t="shared" si="2"/>
        <v>2.4397167313738959E-2</v>
      </c>
      <c r="H16" s="190"/>
      <c r="I16" s="428">
        <f>41422225.01+154204867.09+43061553.92+33313918+29328064.09</f>
        <v>301330628.10999995</v>
      </c>
      <c r="J16" s="193">
        <f t="shared" si="3"/>
        <v>0.29799595529934042</v>
      </c>
    </row>
    <row r="17" spans="1:11" s="203" customFormat="1" ht="15.75" x14ac:dyDescent="0.3">
      <c r="A17" s="188" t="s">
        <v>346</v>
      </c>
      <c r="B17" s="428">
        <v>14578885634</v>
      </c>
      <c r="C17" s="193">
        <f t="shared" si="1"/>
        <v>2.8811691456571992E-2</v>
      </c>
      <c r="D17" s="221">
        <v>3.6448634317423602E-2</v>
      </c>
      <c r="E17" s="204"/>
      <c r="F17" s="428">
        <f t="shared" si="0"/>
        <v>14102730034.059999</v>
      </c>
      <c r="G17" s="193">
        <f t="shared" si="2"/>
        <v>1.683247001942045E-2</v>
      </c>
      <c r="H17" s="204"/>
      <c r="I17" s="428">
        <f>158826738.14+44792067.2+171991.67+19497916.63+252866886.3</f>
        <v>476155599.93999994</v>
      </c>
      <c r="J17" s="193">
        <f t="shared" si="3"/>
        <v>0.58017657523409993</v>
      </c>
    </row>
    <row r="18" spans="1:11" s="203" customFormat="1" ht="15" x14ac:dyDescent="0.3">
      <c r="A18" s="188"/>
      <c r="B18" s="428"/>
      <c r="C18" s="204"/>
      <c r="D18" s="204"/>
      <c r="E18" s="204"/>
      <c r="F18" s="204"/>
      <c r="G18" s="204"/>
      <c r="H18" s="204"/>
      <c r="I18" s="204"/>
      <c r="J18" s="204"/>
    </row>
    <row r="19" spans="1:11" s="203" customFormat="1" ht="15" x14ac:dyDescent="0.3">
      <c r="A19" s="208" t="s">
        <v>317</v>
      </c>
      <c r="B19" s="209"/>
      <c r="C19" s="209"/>
      <c r="D19" s="209"/>
      <c r="E19" s="209"/>
      <c r="F19" s="209"/>
      <c r="G19" s="209"/>
      <c r="H19" s="209"/>
      <c r="I19" s="209"/>
      <c r="J19" s="209"/>
      <c r="K19" s="210"/>
    </row>
    <row r="20" spans="1:11" s="203" customFormat="1" ht="15" x14ac:dyDescent="0.3">
      <c r="A20" s="208" t="s">
        <v>388</v>
      </c>
      <c r="B20" s="209"/>
      <c r="C20" s="209"/>
      <c r="D20" s="209"/>
      <c r="E20" s="209"/>
      <c r="F20" s="209"/>
      <c r="G20" s="209"/>
      <c r="H20" s="209"/>
      <c r="I20" s="209"/>
      <c r="J20" s="209"/>
      <c r="K20" s="210"/>
    </row>
    <row r="21" spans="1:11" s="203" customFormat="1" ht="15" x14ac:dyDescent="0.3">
      <c r="B21" s="204"/>
      <c r="C21" s="204"/>
      <c r="D21" s="204"/>
      <c r="E21" s="204"/>
      <c r="F21" s="204"/>
      <c r="G21" s="204"/>
      <c r="H21" s="204"/>
      <c r="I21" s="204"/>
      <c r="J21" s="204"/>
    </row>
    <row r="22" spans="1:11" s="211" customFormat="1" ht="12.75" x14ac:dyDescent="0.2">
      <c r="A22" s="211" t="s">
        <v>318</v>
      </c>
      <c r="B22" s="212"/>
      <c r="F22" s="213"/>
    </row>
    <row r="23" spans="1:11" s="216" customFormat="1" ht="12.75" x14ac:dyDescent="0.2">
      <c r="A23" s="214" t="s">
        <v>319</v>
      </c>
      <c r="B23" s="215"/>
    </row>
    <row r="24" spans="1:11" s="216" customFormat="1" ht="12.75" x14ac:dyDescent="0.2">
      <c r="A24" s="214" t="s">
        <v>320</v>
      </c>
    </row>
    <row r="25" spans="1:11" s="216" customFormat="1" ht="12.75" x14ac:dyDescent="0.2">
      <c r="A25" s="214" t="s">
        <v>321</v>
      </c>
    </row>
    <row r="26" spans="1:11" s="216" customFormat="1" ht="12.75" x14ac:dyDescent="0.2">
      <c r="A26" s="214" t="s">
        <v>322</v>
      </c>
    </row>
    <row r="27" spans="1:11" s="216" customFormat="1" ht="12.75" x14ac:dyDescent="0.2">
      <c r="A27" s="214" t="s">
        <v>323</v>
      </c>
    </row>
    <row r="28" spans="1:11" s="216" customFormat="1" ht="12.75" x14ac:dyDescent="0.2">
      <c r="A28" s="214" t="s">
        <v>324</v>
      </c>
    </row>
    <row r="29" spans="1:11" s="216" customFormat="1" ht="12.75" x14ac:dyDescent="0.2">
      <c r="A29" s="214" t="s">
        <v>325</v>
      </c>
    </row>
    <row r="30" spans="1:11" s="216" customFormat="1" ht="12.75" x14ac:dyDescent="0.2">
      <c r="A30" s="214" t="s">
        <v>326</v>
      </c>
    </row>
    <row r="31" spans="1:11" s="216" customFormat="1" ht="12.75" x14ac:dyDescent="0.2">
      <c r="A31" s="214" t="s">
        <v>327</v>
      </c>
    </row>
    <row r="32" spans="1:11" s="216" customFormat="1" ht="12.75" x14ac:dyDescent="0.2">
      <c r="A32" s="214" t="s">
        <v>328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4"/>
  <sheetViews>
    <sheetView showGridLines="0" topLeftCell="C1" workbookViewId="0">
      <pane ySplit="6" topLeftCell="A25" activePane="bottomLeft" state="frozen"/>
      <selection pane="bottomLeft" activeCell="J47" sqref="J47"/>
    </sheetView>
  </sheetViews>
  <sheetFormatPr defaultRowHeight="16.5" x14ac:dyDescent="0.3"/>
  <cols>
    <col min="1" max="1" width="18.7109375" style="184" customWidth="1"/>
    <col min="2" max="2" width="15.42578125" style="176" customWidth="1"/>
    <col min="3" max="3" width="8.42578125" style="176" customWidth="1"/>
    <col min="4" max="4" width="10.28515625" style="176" customWidth="1"/>
    <col min="5" max="5" width="11" style="176" bestFit="1" customWidth="1"/>
    <col min="6" max="6" width="10.28515625" style="176" customWidth="1"/>
    <col min="7" max="7" width="10.7109375" style="176" customWidth="1"/>
    <col min="8" max="8" width="11" style="176" customWidth="1"/>
    <col min="9" max="9" width="12" style="176" customWidth="1"/>
    <col min="10" max="10" width="14.42578125" style="176" customWidth="1"/>
    <col min="11" max="11" width="11.85546875" style="176" customWidth="1"/>
    <col min="12" max="12" width="8.42578125" style="176" bestFit="1" customWidth="1"/>
    <col min="13" max="13" width="11.28515625" style="176" customWidth="1"/>
    <col min="14" max="14" width="13.85546875" style="176" customWidth="1"/>
    <col min="15" max="15" width="12" style="176" customWidth="1"/>
    <col min="16" max="16" width="9.140625" style="177"/>
    <col min="17" max="17" width="12.85546875" style="177" bestFit="1" customWidth="1"/>
    <col min="18" max="256" width="9.140625" style="177"/>
    <col min="257" max="257" width="12.42578125" style="177" customWidth="1"/>
    <col min="258" max="258" width="10.85546875" style="177" customWidth="1"/>
    <col min="259" max="259" width="12.42578125" style="177" customWidth="1"/>
    <col min="260" max="260" width="12.140625" style="177" customWidth="1"/>
    <col min="261" max="261" width="12.85546875" style="177" customWidth="1"/>
    <col min="262" max="262" width="11.140625" style="177" customWidth="1"/>
    <col min="263" max="263" width="10.5703125" style="177" customWidth="1"/>
    <col min="264" max="264" width="12.85546875" style="177" customWidth="1"/>
    <col min="265" max="265" width="11" style="177" customWidth="1"/>
    <col min="266" max="266" width="15.7109375" style="177" customWidth="1"/>
    <col min="267" max="267" width="12.5703125" style="177" customWidth="1"/>
    <col min="268" max="268" width="13.42578125" style="177" customWidth="1"/>
    <col min="269" max="269" width="12.42578125" style="177" customWidth="1"/>
    <col min="270" max="270" width="12.7109375" style="177" customWidth="1"/>
    <col min="271" max="271" width="11.42578125" style="177" customWidth="1"/>
    <col min="272" max="512" width="9.140625" style="177"/>
    <col min="513" max="513" width="12.42578125" style="177" customWidth="1"/>
    <col min="514" max="514" width="10.85546875" style="177" customWidth="1"/>
    <col min="515" max="515" width="12.42578125" style="177" customWidth="1"/>
    <col min="516" max="516" width="12.140625" style="177" customWidth="1"/>
    <col min="517" max="517" width="12.85546875" style="177" customWidth="1"/>
    <col min="518" max="518" width="11.140625" style="177" customWidth="1"/>
    <col min="519" max="519" width="10.5703125" style="177" customWidth="1"/>
    <col min="520" max="520" width="12.85546875" style="177" customWidth="1"/>
    <col min="521" max="521" width="11" style="177" customWidth="1"/>
    <col min="522" max="522" width="15.7109375" style="177" customWidth="1"/>
    <col min="523" max="523" width="12.5703125" style="177" customWidth="1"/>
    <col min="524" max="524" width="13.42578125" style="177" customWidth="1"/>
    <col min="525" max="525" width="12.42578125" style="177" customWidth="1"/>
    <col min="526" max="526" width="12.7109375" style="177" customWidth="1"/>
    <col min="527" max="527" width="11.42578125" style="177" customWidth="1"/>
    <col min="528" max="768" width="9.140625" style="177"/>
    <col min="769" max="769" width="12.42578125" style="177" customWidth="1"/>
    <col min="770" max="770" width="10.85546875" style="177" customWidth="1"/>
    <col min="771" max="771" width="12.42578125" style="177" customWidth="1"/>
    <col min="772" max="772" width="12.140625" style="177" customWidth="1"/>
    <col min="773" max="773" width="12.85546875" style="177" customWidth="1"/>
    <col min="774" max="774" width="11.140625" style="177" customWidth="1"/>
    <col min="775" max="775" width="10.5703125" style="177" customWidth="1"/>
    <col min="776" max="776" width="12.85546875" style="177" customWidth="1"/>
    <col min="777" max="777" width="11" style="177" customWidth="1"/>
    <col min="778" max="778" width="15.7109375" style="177" customWidth="1"/>
    <col min="779" max="779" width="12.5703125" style="177" customWidth="1"/>
    <col min="780" max="780" width="13.42578125" style="177" customWidth="1"/>
    <col min="781" max="781" width="12.42578125" style="177" customWidth="1"/>
    <col min="782" max="782" width="12.7109375" style="177" customWidth="1"/>
    <col min="783" max="783" width="11.42578125" style="177" customWidth="1"/>
    <col min="784" max="1024" width="9.140625" style="177"/>
    <col min="1025" max="1025" width="12.42578125" style="177" customWidth="1"/>
    <col min="1026" max="1026" width="10.85546875" style="177" customWidth="1"/>
    <col min="1027" max="1027" width="12.42578125" style="177" customWidth="1"/>
    <col min="1028" max="1028" width="12.140625" style="177" customWidth="1"/>
    <col min="1029" max="1029" width="12.85546875" style="177" customWidth="1"/>
    <col min="1030" max="1030" width="11.140625" style="177" customWidth="1"/>
    <col min="1031" max="1031" width="10.5703125" style="177" customWidth="1"/>
    <col min="1032" max="1032" width="12.85546875" style="177" customWidth="1"/>
    <col min="1033" max="1033" width="11" style="177" customWidth="1"/>
    <col min="1034" max="1034" width="15.7109375" style="177" customWidth="1"/>
    <col min="1035" max="1035" width="12.5703125" style="177" customWidth="1"/>
    <col min="1036" max="1036" width="13.42578125" style="177" customWidth="1"/>
    <col min="1037" max="1037" width="12.42578125" style="177" customWidth="1"/>
    <col min="1038" max="1038" width="12.7109375" style="177" customWidth="1"/>
    <col min="1039" max="1039" width="11.42578125" style="177" customWidth="1"/>
    <col min="1040" max="1280" width="9.140625" style="177"/>
    <col min="1281" max="1281" width="12.42578125" style="177" customWidth="1"/>
    <col min="1282" max="1282" width="10.85546875" style="177" customWidth="1"/>
    <col min="1283" max="1283" width="12.42578125" style="177" customWidth="1"/>
    <col min="1284" max="1284" width="12.140625" style="177" customWidth="1"/>
    <col min="1285" max="1285" width="12.85546875" style="177" customWidth="1"/>
    <col min="1286" max="1286" width="11.140625" style="177" customWidth="1"/>
    <col min="1287" max="1287" width="10.5703125" style="177" customWidth="1"/>
    <col min="1288" max="1288" width="12.85546875" style="177" customWidth="1"/>
    <col min="1289" max="1289" width="11" style="177" customWidth="1"/>
    <col min="1290" max="1290" width="15.7109375" style="177" customWidth="1"/>
    <col min="1291" max="1291" width="12.5703125" style="177" customWidth="1"/>
    <col min="1292" max="1292" width="13.42578125" style="177" customWidth="1"/>
    <col min="1293" max="1293" width="12.42578125" style="177" customWidth="1"/>
    <col min="1294" max="1294" width="12.7109375" style="177" customWidth="1"/>
    <col min="1295" max="1295" width="11.42578125" style="177" customWidth="1"/>
    <col min="1296" max="1536" width="9.140625" style="177"/>
    <col min="1537" max="1537" width="12.42578125" style="177" customWidth="1"/>
    <col min="1538" max="1538" width="10.85546875" style="177" customWidth="1"/>
    <col min="1539" max="1539" width="12.42578125" style="177" customWidth="1"/>
    <col min="1540" max="1540" width="12.140625" style="177" customWidth="1"/>
    <col min="1541" max="1541" width="12.85546875" style="177" customWidth="1"/>
    <col min="1542" max="1542" width="11.140625" style="177" customWidth="1"/>
    <col min="1543" max="1543" width="10.5703125" style="177" customWidth="1"/>
    <col min="1544" max="1544" width="12.85546875" style="177" customWidth="1"/>
    <col min="1545" max="1545" width="11" style="177" customWidth="1"/>
    <col min="1546" max="1546" width="15.7109375" style="177" customWidth="1"/>
    <col min="1547" max="1547" width="12.5703125" style="177" customWidth="1"/>
    <col min="1548" max="1548" width="13.42578125" style="177" customWidth="1"/>
    <col min="1549" max="1549" width="12.42578125" style="177" customWidth="1"/>
    <col min="1550" max="1550" width="12.7109375" style="177" customWidth="1"/>
    <col min="1551" max="1551" width="11.42578125" style="177" customWidth="1"/>
    <col min="1552" max="1792" width="9.140625" style="177"/>
    <col min="1793" max="1793" width="12.42578125" style="177" customWidth="1"/>
    <col min="1794" max="1794" width="10.85546875" style="177" customWidth="1"/>
    <col min="1795" max="1795" width="12.42578125" style="177" customWidth="1"/>
    <col min="1796" max="1796" width="12.140625" style="177" customWidth="1"/>
    <col min="1797" max="1797" width="12.85546875" style="177" customWidth="1"/>
    <col min="1798" max="1798" width="11.140625" style="177" customWidth="1"/>
    <col min="1799" max="1799" width="10.5703125" style="177" customWidth="1"/>
    <col min="1800" max="1800" width="12.85546875" style="177" customWidth="1"/>
    <col min="1801" max="1801" width="11" style="177" customWidth="1"/>
    <col min="1802" max="1802" width="15.7109375" style="177" customWidth="1"/>
    <col min="1803" max="1803" width="12.5703125" style="177" customWidth="1"/>
    <col min="1804" max="1804" width="13.42578125" style="177" customWidth="1"/>
    <col min="1805" max="1805" width="12.42578125" style="177" customWidth="1"/>
    <col min="1806" max="1806" width="12.7109375" style="177" customWidth="1"/>
    <col min="1807" max="1807" width="11.42578125" style="177" customWidth="1"/>
    <col min="1808" max="2048" width="9.140625" style="177"/>
    <col min="2049" max="2049" width="12.42578125" style="177" customWidth="1"/>
    <col min="2050" max="2050" width="10.85546875" style="177" customWidth="1"/>
    <col min="2051" max="2051" width="12.42578125" style="177" customWidth="1"/>
    <col min="2052" max="2052" width="12.140625" style="177" customWidth="1"/>
    <col min="2053" max="2053" width="12.85546875" style="177" customWidth="1"/>
    <col min="2054" max="2054" width="11.140625" style="177" customWidth="1"/>
    <col min="2055" max="2055" width="10.5703125" style="177" customWidth="1"/>
    <col min="2056" max="2056" width="12.85546875" style="177" customWidth="1"/>
    <col min="2057" max="2057" width="11" style="177" customWidth="1"/>
    <col min="2058" max="2058" width="15.7109375" style="177" customWidth="1"/>
    <col min="2059" max="2059" width="12.5703125" style="177" customWidth="1"/>
    <col min="2060" max="2060" width="13.42578125" style="177" customWidth="1"/>
    <col min="2061" max="2061" width="12.42578125" style="177" customWidth="1"/>
    <col min="2062" max="2062" width="12.7109375" style="177" customWidth="1"/>
    <col min="2063" max="2063" width="11.42578125" style="177" customWidth="1"/>
    <col min="2064" max="2304" width="9.140625" style="177"/>
    <col min="2305" max="2305" width="12.42578125" style="177" customWidth="1"/>
    <col min="2306" max="2306" width="10.85546875" style="177" customWidth="1"/>
    <col min="2307" max="2307" width="12.42578125" style="177" customWidth="1"/>
    <col min="2308" max="2308" width="12.140625" style="177" customWidth="1"/>
    <col min="2309" max="2309" width="12.85546875" style="177" customWidth="1"/>
    <col min="2310" max="2310" width="11.140625" style="177" customWidth="1"/>
    <col min="2311" max="2311" width="10.5703125" style="177" customWidth="1"/>
    <col min="2312" max="2312" width="12.85546875" style="177" customWidth="1"/>
    <col min="2313" max="2313" width="11" style="177" customWidth="1"/>
    <col min="2314" max="2314" width="15.7109375" style="177" customWidth="1"/>
    <col min="2315" max="2315" width="12.5703125" style="177" customWidth="1"/>
    <col min="2316" max="2316" width="13.42578125" style="177" customWidth="1"/>
    <col min="2317" max="2317" width="12.42578125" style="177" customWidth="1"/>
    <col min="2318" max="2318" width="12.7109375" style="177" customWidth="1"/>
    <col min="2319" max="2319" width="11.42578125" style="177" customWidth="1"/>
    <col min="2320" max="2560" width="9.140625" style="177"/>
    <col min="2561" max="2561" width="12.42578125" style="177" customWidth="1"/>
    <col min="2562" max="2562" width="10.85546875" style="177" customWidth="1"/>
    <col min="2563" max="2563" width="12.42578125" style="177" customWidth="1"/>
    <col min="2564" max="2564" width="12.140625" style="177" customWidth="1"/>
    <col min="2565" max="2565" width="12.85546875" style="177" customWidth="1"/>
    <col min="2566" max="2566" width="11.140625" style="177" customWidth="1"/>
    <col min="2567" max="2567" width="10.5703125" style="177" customWidth="1"/>
    <col min="2568" max="2568" width="12.85546875" style="177" customWidth="1"/>
    <col min="2569" max="2569" width="11" style="177" customWidth="1"/>
    <col min="2570" max="2570" width="15.7109375" style="177" customWidth="1"/>
    <col min="2571" max="2571" width="12.5703125" style="177" customWidth="1"/>
    <col min="2572" max="2572" width="13.42578125" style="177" customWidth="1"/>
    <col min="2573" max="2573" width="12.42578125" style="177" customWidth="1"/>
    <col min="2574" max="2574" width="12.7109375" style="177" customWidth="1"/>
    <col min="2575" max="2575" width="11.42578125" style="177" customWidth="1"/>
    <col min="2576" max="2816" width="9.140625" style="177"/>
    <col min="2817" max="2817" width="12.42578125" style="177" customWidth="1"/>
    <col min="2818" max="2818" width="10.85546875" style="177" customWidth="1"/>
    <col min="2819" max="2819" width="12.42578125" style="177" customWidth="1"/>
    <col min="2820" max="2820" width="12.140625" style="177" customWidth="1"/>
    <col min="2821" max="2821" width="12.85546875" style="177" customWidth="1"/>
    <col min="2822" max="2822" width="11.140625" style="177" customWidth="1"/>
    <col min="2823" max="2823" width="10.5703125" style="177" customWidth="1"/>
    <col min="2824" max="2824" width="12.85546875" style="177" customWidth="1"/>
    <col min="2825" max="2825" width="11" style="177" customWidth="1"/>
    <col min="2826" max="2826" width="15.7109375" style="177" customWidth="1"/>
    <col min="2827" max="2827" width="12.5703125" style="177" customWidth="1"/>
    <col min="2828" max="2828" width="13.42578125" style="177" customWidth="1"/>
    <col min="2829" max="2829" width="12.42578125" style="177" customWidth="1"/>
    <col min="2830" max="2830" width="12.7109375" style="177" customWidth="1"/>
    <col min="2831" max="2831" width="11.42578125" style="177" customWidth="1"/>
    <col min="2832" max="3072" width="9.140625" style="177"/>
    <col min="3073" max="3073" width="12.42578125" style="177" customWidth="1"/>
    <col min="3074" max="3074" width="10.85546875" style="177" customWidth="1"/>
    <col min="3075" max="3075" width="12.42578125" style="177" customWidth="1"/>
    <col min="3076" max="3076" width="12.140625" style="177" customWidth="1"/>
    <col min="3077" max="3077" width="12.85546875" style="177" customWidth="1"/>
    <col min="3078" max="3078" width="11.140625" style="177" customWidth="1"/>
    <col min="3079" max="3079" width="10.5703125" style="177" customWidth="1"/>
    <col min="3080" max="3080" width="12.85546875" style="177" customWidth="1"/>
    <col min="3081" max="3081" width="11" style="177" customWidth="1"/>
    <col min="3082" max="3082" width="15.7109375" style="177" customWidth="1"/>
    <col min="3083" max="3083" width="12.5703125" style="177" customWidth="1"/>
    <col min="3084" max="3084" width="13.42578125" style="177" customWidth="1"/>
    <col min="3085" max="3085" width="12.42578125" style="177" customWidth="1"/>
    <col min="3086" max="3086" width="12.7109375" style="177" customWidth="1"/>
    <col min="3087" max="3087" width="11.42578125" style="177" customWidth="1"/>
    <col min="3088" max="3328" width="9.140625" style="177"/>
    <col min="3329" max="3329" width="12.42578125" style="177" customWidth="1"/>
    <col min="3330" max="3330" width="10.85546875" style="177" customWidth="1"/>
    <col min="3331" max="3331" width="12.42578125" style="177" customWidth="1"/>
    <col min="3332" max="3332" width="12.140625" style="177" customWidth="1"/>
    <col min="3333" max="3333" width="12.85546875" style="177" customWidth="1"/>
    <col min="3334" max="3334" width="11.140625" style="177" customWidth="1"/>
    <col min="3335" max="3335" width="10.5703125" style="177" customWidth="1"/>
    <col min="3336" max="3336" width="12.85546875" style="177" customWidth="1"/>
    <col min="3337" max="3337" width="11" style="177" customWidth="1"/>
    <col min="3338" max="3338" width="15.7109375" style="177" customWidth="1"/>
    <col min="3339" max="3339" width="12.5703125" style="177" customWidth="1"/>
    <col min="3340" max="3340" width="13.42578125" style="177" customWidth="1"/>
    <col min="3341" max="3341" width="12.42578125" style="177" customWidth="1"/>
    <col min="3342" max="3342" width="12.7109375" style="177" customWidth="1"/>
    <col min="3343" max="3343" width="11.42578125" style="177" customWidth="1"/>
    <col min="3344" max="3584" width="9.140625" style="177"/>
    <col min="3585" max="3585" width="12.42578125" style="177" customWidth="1"/>
    <col min="3586" max="3586" width="10.85546875" style="177" customWidth="1"/>
    <col min="3587" max="3587" width="12.42578125" style="177" customWidth="1"/>
    <col min="3588" max="3588" width="12.140625" style="177" customWidth="1"/>
    <col min="3589" max="3589" width="12.85546875" style="177" customWidth="1"/>
    <col min="3590" max="3590" width="11.140625" style="177" customWidth="1"/>
    <col min="3591" max="3591" width="10.5703125" style="177" customWidth="1"/>
    <col min="3592" max="3592" width="12.85546875" style="177" customWidth="1"/>
    <col min="3593" max="3593" width="11" style="177" customWidth="1"/>
    <col min="3594" max="3594" width="15.7109375" style="177" customWidth="1"/>
    <col min="3595" max="3595" width="12.5703125" style="177" customWidth="1"/>
    <col min="3596" max="3596" width="13.42578125" style="177" customWidth="1"/>
    <col min="3597" max="3597" width="12.42578125" style="177" customWidth="1"/>
    <col min="3598" max="3598" width="12.7109375" style="177" customWidth="1"/>
    <col min="3599" max="3599" width="11.42578125" style="177" customWidth="1"/>
    <col min="3600" max="3840" width="9.140625" style="177"/>
    <col min="3841" max="3841" width="12.42578125" style="177" customWidth="1"/>
    <col min="3842" max="3842" width="10.85546875" style="177" customWidth="1"/>
    <col min="3843" max="3843" width="12.42578125" style="177" customWidth="1"/>
    <col min="3844" max="3844" width="12.140625" style="177" customWidth="1"/>
    <col min="3845" max="3845" width="12.85546875" style="177" customWidth="1"/>
    <col min="3846" max="3846" width="11.140625" style="177" customWidth="1"/>
    <col min="3847" max="3847" width="10.5703125" style="177" customWidth="1"/>
    <col min="3848" max="3848" width="12.85546875" style="177" customWidth="1"/>
    <col min="3849" max="3849" width="11" style="177" customWidth="1"/>
    <col min="3850" max="3850" width="15.7109375" style="177" customWidth="1"/>
    <col min="3851" max="3851" width="12.5703125" style="177" customWidth="1"/>
    <col min="3852" max="3852" width="13.42578125" style="177" customWidth="1"/>
    <col min="3853" max="3853" width="12.42578125" style="177" customWidth="1"/>
    <col min="3854" max="3854" width="12.7109375" style="177" customWidth="1"/>
    <col min="3855" max="3855" width="11.42578125" style="177" customWidth="1"/>
    <col min="3856" max="4096" width="9.140625" style="177"/>
    <col min="4097" max="4097" width="12.42578125" style="177" customWidth="1"/>
    <col min="4098" max="4098" width="10.85546875" style="177" customWidth="1"/>
    <col min="4099" max="4099" width="12.42578125" style="177" customWidth="1"/>
    <col min="4100" max="4100" width="12.140625" style="177" customWidth="1"/>
    <col min="4101" max="4101" width="12.85546875" style="177" customWidth="1"/>
    <col min="4102" max="4102" width="11.140625" style="177" customWidth="1"/>
    <col min="4103" max="4103" width="10.5703125" style="177" customWidth="1"/>
    <col min="4104" max="4104" width="12.85546875" style="177" customWidth="1"/>
    <col min="4105" max="4105" width="11" style="177" customWidth="1"/>
    <col min="4106" max="4106" width="15.7109375" style="177" customWidth="1"/>
    <col min="4107" max="4107" width="12.5703125" style="177" customWidth="1"/>
    <col min="4108" max="4108" width="13.42578125" style="177" customWidth="1"/>
    <col min="4109" max="4109" width="12.42578125" style="177" customWidth="1"/>
    <col min="4110" max="4110" width="12.7109375" style="177" customWidth="1"/>
    <col min="4111" max="4111" width="11.42578125" style="177" customWidth="1"/>
    <col min="4112" max="4352" width="9.140625" style="177"/>
    <col min="4353" max="4353" width="12.42578125" style="177" customWidth="1"/>
    <col min="4354" max="4354" width="10.85546875" style="177" customWidth="1"/>
    <col min="4355" max="4355" width="12.42578125" style="177" customWidth="1"/>
    <col min="4356" max="4356" width="12.140625" style="177" customWidth="1"/>
    <col min="4357" max="4357" width="12.85546875" style="177" customWidth="1"/>
    <col min="4358" max="4358" width="11.140625" style="177" customWidth="1"/>
    <col min="4359" max="4359" width="10.5703125" style="177" customWidth="1"/>
    <col min="4360" max="4360" width="12.85546875" style="177" customWidth="1"/>
    <col min="4361" max="4361" width="11" style="177" customWidth="1"/>
    <col min="4362" max="4362" width="15.7109375" style="177" customWidth="1"/>
    <col min="4363" max="4363" width="12.5703125" style="177" customWidth="1"/>
    <col min="4364" max="4364" width="13.42578125" style="177" customWidth="1"/>
    <col min="4365" max="4365" width="12.42578125" style="177" customWidth="1"/>
    <col min="4366" max="4366" width="12.7109375" style="177" customWidth="1"/>
    <col min="4367" max="4367" width="11.42578125" style="177" customWidth="1"/>
    <col min="4368" max="4608" width="9.140625" style="177"/>
    <col min="4609" max="4609" width="12.42578125" style="177" customWidth="1"/>
    <col min="4610" max="4610" width="10.85546875" style="177" customWidth="1"/>
    <col min="4611" max="4611" width="12.42578125" style="177" customWidth="1"/>
    <col min="4612" max="4612" width="12.140625" style="177" customWidth="1"/>
    <col min="4613" max="4613" width="12.85546875" style="177" customWidth="1"/>
    <col min="4614" max="4614" width="11.140625" style="177" customWidth="1"/>
    <col min="4615" max="4615" width="10.5703125" style="177" customWidth="1"/>
    <col min="4616" max="4616" width="12.85546875" style="177" customWidth="1"/>
    <col min="4617" max="4617" width="11" style="177" customWidth="1"/>
    <col min="4618" max="4618" width="15.7109375" style="177" customWidth="1"/>
    <col min="4619" max="4619" width="12.5703125" style="177" customWidth="1"/>
    <col min="4620" max="4620" width="13.42578125" style="177" customWidth="1"/>
    <col min="4621" max="4621" width="12.42578125" style="177" customWidth="1"/>
    <col min="4622" max="4622" width="12.7109375" style="177" customWidth="1"/>
    <col min="4623" max="4623" width="11.42578125" style="177" customWidth="1"/>
    <col min="4624" max="4864" width="9.140625" style="177"/>
    <col min="4865" max="4865" width="12.42578125" style="177" customWidth="1"/>
    <col min="4866" max="4866" width="10.85546875" style="177" customWidth="1"/>
    <col min="4867" max="4867" width="12.42578125" style="177" customWidth="1"/>
    <col min="4868" max="4868" width="12.140625" style="177" customWidth="1"/>
    <col min="4869" max="4869" width="12.85546875" style="177" customWidth="1"/>
    <col min="4870" max="4870" width="11.140625" style="177" customWidth="1"/>
    <col min="4871" max="4871" width="10.5703125" style="177" customWidth="1"/>
    <col min="4872" max="4872" width="12.85546875" style="177" customWidth="1"/>
    <col min="4873" max="4873" width="11" style="177" customWidth="1"/>
    <col min="4874" max="4874" width="15.7109375" style="177" customWidth="1"/>
    <col min="4875" max="4875" width="12.5703125" style="177" customWidth="1"/>
    <col min="4876" max="4876" width="13.42578125" style="177" customWidth="1"/>
    <col min="4877" max="4877" width="12.42578125" style="177" customWidth="1"/>
    <col min="4878" max="4878" width="12.7109375" style="177" customWidth="1"/>
    <col min="4879" max="4879" width="11.42578125" style="177" customWidth="1"/>
    <col min="4880" max="5120" width="9.140625" style="177"/>
    <col min="5121" max="5121" width="12.42578125" style="177" customWidth="1"/>
    <col min="5122" max="5122" width="10.85546875" style="177" customWidth="1"/>
    <col min="5123" max="5123" width="12.42578125" style="177" customWidth="1"/>
    <col min="5124" max="5124" width="12.140625" style="177" customWidth="1"/>
    <col min="5125" max="5125" width="12.85546875" style="177" customWidth="1"/>
    <col min="5126" max="5126" width="11.140625" style="177" customWidth="1"/>
    <col min="5127" max="5127" width="10.5703125" style="177" customWidth="1"/>
    <col min="5128" max="5128" width="12.85546875" style="177" customWidth="1"/>
    <col min="5129" max="5129" width="11" style="177" customWidth="1"/>
    <col min="5130" max="5130" width="15.7109375" style="177" customWidth="1"/>
    <col min="5131" max="5131" width="12.5703125" style="177" customWidth="1"/>
    <col min="5132" max="5132" width="13.42578125" style="177" customWidth="1"/>
    <col min="5133" max="5133" width="12.42578125" style="177" customWidth="1"/>
    <col min="5134" max="5134" width="12.7109375" style="177" customWidth="1"/>
    <col min="5135" max="5135" width="11.42578125" style="177" customWidth="1"/>
    <col min="5136" max="5376" width="9.140625" style="177"/>
    <col min="5377" max="5377" width="12.42578125" style="177" customWidth="1"/>
    <col min="5378" max="5378" width="10.85546875" style="177" customWidth="1"/>
    <col min="5379" max="5379" width="12.42578125" style="177" customWidth="1"/>
    <col min="5380" max="5380" width="12.140625" style="177" customWidth="1"/>
    <col min="5381" max="5381" width="12.85546875" style="177" customWidth="1"/>
    <col min="5382" max="5382" width="11.140625" style="177" customWidth="1"/>
    <col min="5383" max="5383" width="10.5703125" style="177" customWidth="1"/>
    <col min="5384" max="5384" width="12.85546875" style="177" customWidth="1"/>
    <col min="5385" max="5385" width="11" style="177" customWidth="1"/>
    <col min="5386" max="5386" width="15.7109375" style="177" customWidth="1"/>
    <col min="5387" max="5387" width="12.5703125" style="177" customWidth="1"/>
    <col min="5388" max="5388" width="13.42578125" style="177" customWidth="1"/>
    <col min="5389" max="5389" width="12.42578125" style="177" customWidth="1"/>
    <col min="5390" max="5390" width="12.7109375" style="177" customWidth="1"/>
    <col min="5391" max="5391" width="11.42578125" style="177" customWidth="1"/>
    <col min="5392" max="5632" width="9.140625" style="177"/>
    <col min="5633" max="5633" width="12.42578125" style="177" customWidth="1"/>
    <col min="5634" max="5634" width="10.85546875" style="177" customWidth="1"/>
    <col min="5635" max="5635" width="12.42578125" style="177" customWidth="1"/>
    <col min="5636" max="5636" width="12.140625" style="177" customWidth="1"/>
    <col min="5637" max="5637" width="12.85546875" style="177" customWidth="1"/>
    <col min="5638" max="5638" width="11.140625" style="177" customWidth="1"/>
    <col min="5639" max="5639" width="10.5703125" style="177" customWidth="1"/>
    <col min="5640" max="5640" width="12.85546875" style="177" customWidth="1"/>
    <col min="5641" max="5641" width="11" style="177" customWidth="1"/>
    <col min="5642" max="5642" width="15.7109375" style="177" customWidth="1"/>
    <col min="5643" max="5643" width="12.5703125" style="177" customWidth="1"/>
    <col min="5644" max="5644" width="13.42578125" style="177" customWidth="1"/>
    <col min="5645" max="5645" width="12.42578125" style="177" customWidth="1"/>
    <col min="5646" max="5646" width="12.7109375" style="177" customWidth="1"/>
    <col min="5647" max="5647" width="11.42578125" style="177" customWidth="1"/>
    <col min="5648" max="5888" width="9.140625" style="177"/>
    <col min="5889" max="5889" width="12.42578125" style="177" customWidth="1"/>
    <col min="5890" max="5890" width="10.85546875" style="177" customWidth="1"/>
    <col min="5891" max="5891" width="12.42578125" style="177" customWidth="1"/>
    <col min="5892" max="5892" width="12.140625" style="177" customWidth="1"/>
    <col min="5893" max="5893" width="12.85546875" style="177" customWidth="1"/>
    <col min="5894" max="5894" width="11.140625" style="177" customWidth="1"/>
    <col min="5895" max="5895" width="10.5703125" style="177" customWidth="1"/>
    <col min="5896" max="5896" width="12.85546875" style="177" customWidth="1"/>
    <col min="5897" max="5897" width="11" style="177" customWidth="1"/>
    <col min="5898" max="5898" width="15.7109375" style="177" customWidth="1"/>
    <col min="5899" max="5899" width="12.5703125" style="177" customWidth="1"/>
    <col min="5900" max="5900" width="13.42578125" style="177" customWidth="1"/>
    <col min="5901" max="5901" width="12.42578125" style="177" customWidth="1"/>
    <col min="5902" max="5902" width="12.7109375" style="177" customWidth="1"/>
    <col min="5903" max="5903" width="11.42578125" style="177" customWidth="1"/>
    <col min="5904" max="6144" width="9.140625" style="177"/>
    <col min="6145" max="6145" width="12.42578125" style="177" customWidth="1"/>
    <col min="6146" max="6146" width="10.85546875" style="177" customWidth="1"/>
    <col min="6147" max="6147" width="12.42578125" style="177" customWidth="1"/>
    <col min="6148" max="6148" width="12.140625" style="177" customWidth="1"/>
    <col min="6149" max="6149" width="12.85546875" style="177" customWidth="1"/>
    <col min="6150" max="6150" width="11.140625" style="177" customWidth="1"/>
    <col min="6151" max="6151" width="10.5703125" style="177" customWidth="1"/>
    <col min="6152" max="6152" width="12.85546875" style="177" customWidth="1"/>
    <col min="6153" max="6153" width="11" style="177" customWidth="1"/>
    <col min="6154" max="6154" width="15.7109375" style="177" customWidth="1"/>
    <col min="6155" max="6155" width="12.5703125" style="177" customWidth="1"/>
    <col min="6156" max="6156" width="13.42578125" style="177" customWidth="1"/>
    <col min="6157" max="6157" width="12.42578125" style="177" customWidth="1"/>
    <col min="6158" max="6158" width="12.7109375" style="177" customWidth="1"/>
    <col min="6159" max="6159" width="11.42578125" style="177" customWidth="1"/>
    <col min="6160" max="6400" width="9.140625" style="177"/>
    <col min="6401" max="6401" width="12.42578125" style="177" customWidth="1"/>
    <col min="6402" max="6402" width="10.85546875" style="177" customWidth="1"/>
    <col min="6403" max="6403" width="12.42578125" style="177" customWidth="1"/>
    <col min="6404" max="6404" width="12.140625" style="177" customWidth="1"/>
    <col min="6405" max="6405" width="12.85546875" style="177" customWidth="1"/>
    <col min="6406" max="6406" width="11.140625" style="177" customWidth="1"/>
    <col min="6407" max="6407" width="10.5703125" style="177" customWidth="1"/>
    <col min="6408" max="6408" width="12.85546875" style="177" customWidth="1"/>
    <col min="6409" max="6409" width="11" style="177" customWidth="1"/>
    <col min="6410" max="6410" width="15.7109375" style="177" customWidth="1"/>
    <col min="6411" max="6411" width="12.5703125" style="177" customWidth="1"/>
    <col min="6412" max="6412" width="13.42578125" style="177" customWidth="1"/>
    <col min="6413" max="6413" width="12.42578125" style="177" customWidth="1"/>
    <col min="6414" max="6414" width="12.7109375" style="177" customWidth="1"/>
    <col min="6415" max="6415" width="11.42578125" style="177" customWidth="1"/>
    <col min="6416" max="6656" width="9.140625" style="177"/>
    <col min="6657" max="6657" width="12.42578125" style="177" customWidth="1"/>
    <col min="6658" max="6658" width="10.85546875" style="177" customWidth="1"/>
    <col min="6659" max="6659" width="12.42578125" style="177" customWidth="1"/>
    <col min="6660" max="6660" width="12.140625" style="177" customWidth="1"/>
    <col min="6661" max="6661" width="12.85546875" style="177" customWidth="1"/>
    <col min="6662" max="6662" width="11.140625" style="177" customWidth="1"/>
    <col min="6663" max="6663" width="10.5703125" style="177" customWidth="1"/>
    <col min="6664" max="6664" width="12.85546875" style="177" customWidth="1"/>
    <col min="6665" max="6665" width="11" style="177" customWidth="1"/>
    <col min="6666" max="6666" width="15.7109375" style="177" customWidth="1"/>
    <col min="6667" max="6667" width="12.5703125" style="177" customWidth="1"/>
    <col min="6668" max="6668" width="13.42578125" style="177" customWidth="1"/>
    <col min="6669" max="6669" width="12.42578125" style="177" customWidth="1"/>
    <col min="6670" max="6670" width="12.7109375" style="177" customWidth="1"/>
    <col min="6671" max="6671" width="11.42578125" style="177" customWidth="1"/>
    <col min="6672" max="6912" width="9.140625" style="177"/>
    <col min="6913" max="6913" width="12.42578125" style="177" customWidth="1"/>
    <col min="6914" max="6914" width="10.85546875" style="177" customWidth="1"/>
    <col min="6915" max="6915" width="12.42578125" style="177" customWidth="1"/>
    <col min="6916" max="6916" width="12.140625" style="177" customWidth="1"/>
    <col min="6917" max="6917" width="12.85546875" style="177" customWidth="1"/>
    <col min="6918" max="6918" width="11.140625" style="177" customWidth="1"/>
    <col min="6919" max="6919" width="10.5703125" style="177" customWidth="1"/>
    <col min="6920" max="6920" width="12.85546875" style="177" customWidth="1"/>
    <col min="6921" max="6921" width="11" style="177" customWidth="1"/>
    <col min="6922" max="6922" width="15.7109375" style="177" customWidth="1"/>
    <col min="6923" max="6923" width="12.5703125" style="177" customWidth="1"/>
    <col min="6924" max="6924" width="13.42578125" style="177" customWidth="1"/>
    <col min="6925" max="6925" width="12.42578125" style="177" customWidth="1"/>
    <col min="6926" max="6926" width="12.7109375" style="177" customWidth="1"/>
    <col min="6927" max="6927" width="11.42578125" style="177" customWidth="1"/>
    <col min="6928" max="7168" width="9.140625" style="177"/>
    <col min="7169" max="7169" width="12.42578125" style="177" customWidth="1"/>
    <col min="7170" max="7170" width="10.85546875" style="177" customWidth="1"/>
    <col min="7171" max="7171" width="12.42578125" style="177" customWidth="1"/>
    <col min="7172" max="7172" width="12.140625" style="177" customWidth="1"/>
    <col min="7173" max="7173" width="12.85546875" style="177" customWidth="1"/>
    <col min="7174" max="7174" width="11.140625" style="177" customWidth="1"/>
    <col min="7175" max="7175" width="10.5703125" style="177" customWidth="1"/>
    <col min="7176" max="7176" width="12.85546875" style="177" customWidth="1"/>
    <col min="7177" max="7177" width="11" style="177" customWidth="1"/>
    <col min="7178" max="7178" width="15.7109375" style="177" customWidth="1"/>
    <col min="7179" max="7179" width="12.5703125" style="177" customWidth="1"/>
    <col min="7180" max="7180" width="13.42578125" style="177" customWidth="1"/>
    <col min="7181" max="7181" width="12.42578125" style="177" customWidth="1"/>
    <col min="7182" max="7182" width="12.7109375" style="177" customWidth="1"/>
    <col min="7183" max="7183" width="11.42578125" style="177" customWidth="1"/>
    <col min="7184" max="7424" width="9.140625" style="177"/>
    <col min="7425" max="7425" width="12.42578125" style="177" customWidth="1"/>
    <col min="7426" max="7426" width="10.85546875" style="177" customWidth="1"/>
    <col min="7427" max="7427" width="12.42578125" style="177" customWidth="1"/>
    <col min="7428" max="7428" width="12.140625" style="177" customWidth="1"/>
    <col min="7429" max="7429" width="12.85546875" style="177" customWidth="1"/>
    <col min="7430" max="7430" width="11.140625" style="177" customWidth="1"/>
    <col min="7431" max="7431" width="10.5703125" style="177" customWidth="1"/>
    <col min="7432" max="7432" width="12.85546875" style="177" customWidth="1"/>
    <col min="7433" max="7433" width="11" style="177" customWidth="1"/>
    <col min="7434" max="7434" width="15.7109375" style="177" customWidth="1"/>
    <col min="7435" max="7435" width="12.5703125" style="177" customWidth="1"/>
    <col min="7436" max="7436" width="13.42578125" style="177" customWidth="1"/>
    <col min="7437" max="7437" width="12.42578125" style="177" customWidth="1"/>
    <col min="7438" max="7438" width="12.7109375" style="177" customWidth="1"/>
    <col min="7439" max="7439" width="11.42578125" style="177" customWidth="1"/>
    <col min="7440" max="7680" width="9.140625" style="177"/>
    <col min="7681" max="7681" width="12.42578125" style="177" customWidth="1"/>
    <col min="7682" max="7682" width="10.85546875" style="177" customWidth="1"/>
    <col min="7683" max="7683" width="12.42578125" style="177" customWidth="1"/>
    <col min="7684" max="7684" width="12.140625" style="177" customWidth="1"/>
    <col min="7685" max="7685" width="12.85546875" style="177" customWidth="1"/>
    <col min="7686" max="7686" width="11.140625" style="177" customWidth="1"/>
    <col min="7687" max="7687" width="10.5703125" style="177" customWidth="1"/>
    <col min="7688" max="7688" width="12.85546875" style="177" customWidth="1"/>
    <col min="7689" max="7689" width="11" style="177" customWidth="1"/>
    <col min="7690" max="7690" width="15.7109375" style="177" customWidth="1"/>
    <col min="7691" max="7691" width="12.5703125" style="177" customWidth="1"/>
    <col min="7692" max="7692" width="13.42578125" style="177" customWidth="1"/>
    <col min="7693" max="7693" width="12.42578125" style="177" customWidth="1"/>
    <col min="7694" max="7694" width="12.7109375" style="177" customWidth="1"/>
    <col min="7695" max="7695" width="11.42578125" style="177" customWidth="1"/>
    <col min="7696" max="7936" width="9.140625" style="177"/>
    <col min="7937" max="7937" width="12.42578125" style="177" customWidth="1"/>
    <col min="7938" max="7938" width="10.85546875" style="177" customWidth="1"/>
    <col min="7939" max="7939" width="12.42578125" style="177" customWidth="1"/>
    <col min="7940" max="7940" width="12.140625" style="177" customWidth="1"/>
    <col min="7941" max="7941" width="12.85546875" style="177" customWidth="1"/>
    <col min="7942" max="7942" width="11.140625" style="177" customWidth="1"/>
    <col min="7943" max="7943" width="10.5703125" style="177" customWidth="1"/>
    <col min="7944" max="7944" width="12.85546875" style="177" customWidth="1"/>
    <col min="7945" max="7945" width="11" style="177" customWidth="1"/>
    <col min="7946" max="7946" width="15.7109375" style="177" customWidth="1"/>
    <col min="7947" max="7947" width="12.5703125" style="177" customWidth="1"/>
    <col min="7948" max="7948" width="13.42578125" style="177" customWidth="1"/>
    <col min="7949" max="7949" width="12.42578125" style="177" customWidth="1"/>
    <col min="7950" max="7950" width="12.7109375" style="177" customWidth="1"/>
    <col min="7951" max="7951" width="11.42578125" style="177" customWidth="1"/>
    <col min="7952" max="8192" width="9.140625" style="177"/>
    <col min="8193" max="8193" width="12.42578125" style="177" customWidth="1"/>
    <col min="8194" max="8194" width="10.85546875" style="177" customWidth="1"/>
    <col min="8195" max="8195" width="12.42578125" style="177" customWidth="1"/>
    <col min="8196" max="8196" width="12.140625" style="177" customWidth="1"/>
    <col min="8197" max="8197" width="12.85546875" style="177" customWidth="1"/>
    <col min="8198" max="8198" width="11.140625" style="177" customWidth="1"/>
    <col min="8199" max="8199" width="10.5703125" style="177" customWidth="1"/>
    <col min="8200" max="8200" width="12.85546875" style="177" customWidth="1"/>
    <col min="8201" max="8201" width="11" style="177" customWidth="1"/>
    <col min="8202" max="8202" width="15.7109375" style="177" customWidth="1"/>
    <col min="8203" max="8203" width="12.5703125" style="177" customWidth="1"/>
    <col min="8204" max="8204" width="13.42578125" style="177" customWidth="1"/>
    <col min="8205" max="8205" width="12.42578125" style="177" customWidth="1"/>
    <col min="8206" max="8206" width="12.7109375" style="177" customWidth="1"/>
    <col min="8207" max="8207" width="11.42578125" style="177" customWidth="1"/>
    <col min="8208" max="8448" width="9.140625" style="177"/>
    <col min="8449" max="8449" width="12.42578125" style="177" customWidth="1"/>
    <col min="8450" max="8450" width="10.85546875" style="177" customWidth="1"/>
    <col min="8451" max="8451" width="12.42578125" style="177" customWidth="1"/>
    <col min="8452" max="8452" width="12.140625" style="177" customWidth="1"/>
    <col min="8453" max="8453" width="12.85546875" style="177" customWidth="1"/>
    <col min="8454" max="8454" width="11.140625" style="177" customWidth="1"/>
    <col min="8455" max="8455" width="10.5703125" style="177" customWidth="1"/>
    <col min="8456" max="8456" width="12.85546875" style="177" customWidth="1"/>
    <col min="8457" max="8457" width="11" style="177" customWidth="1"/>
    <col min="8458" max="8458" width="15.7109375" style="177" customWidth="1"/>
    <col min="8459" max="8459" width="12.5703125" style="177" customWidth="1"/>
    <col min="8460" max="8460" width="13.42578125" style="177" customWidth="1"/>
    <col min="8461" max="8461" width="12.42578125" style="177" customWidth="1"/>
    <col min="8462" max="8462" width="12.7109375" style="177" customWidth="1"/>
    <col min="8463" max="8463" width="11.42578125" style="177" customWidth="1"/>
    <col min="8464" max="8704" width="9.140625" style="177"/>
    <col min="8705" max="8705" width="12.42578125" style="177" customWidth="1"/>
    <col min="8706" max="8706" width="10.85546875" style="177" customWidth="1"/>
    <col min="8707" max="8707" width="12.42578125" style="177" customWidth="1"/>
    <col min="8708" max="8708" width="12.140625" style="177" customWidth="1"/>
    <col min="8709" max="8709" width="12.85546875" style="177" customWidth="1"/>
    <col min="8710" max="8710" width="11.140625" style="177" customWidth="1"/>
    <col min="8711" max="8711" width="10.5703125" style="177" customWidth="1"/>
    <col min="8712" max="8712" width="12.85546875" style="177" customWidth="1"/>
    <col min="8713" max="8713" width="11" style="177" customWidth="1"/>
    <col min="8714" max="8714" width="15.7109375" style="177" customWidth="1"/>
    <col min="8715" max="8715" width="12.5703125" style="177" customWidth="1"/>
    <col min="8716" max="8716" width="13.42578125" style="177" customWidth="1"/>
    <col min="8717" max="8717" width="12.42578125" style="177" customWidth="1"/>
    <col min="8718" max="8718" width="12.7109375" style="177" customWidth="1"/>
    <col min="8719" max="8719" width="11.42578125" style="177" customWidth="1"/>
    <col min="8720" max="8960" width="9.140625" style="177"/>
    <col min="8961" max="8961" width="12.42578125" style="177" customWidth="1"/>
    <col min="8962" max="8962" width="10.85546875" style="177" customWidth="1"/>
    <col min="8963" max="8963" width="12.42578125" style="177" customWidth="1"/>
    <col min="8964" max="8964" width="12.140625" style="177" customWidth="1"/>
    <col min="8965" max="8965" width="12.85546875" style="177" customWidth="1"/>
    <col min="8966" max="8966" width="11.140625" style="177" customWidth="1"/>
    <col min="8967" max="8967" width="10.5703125" style="177" customWidth="1"/>
    <col min="8968" max="8968" width="12.85546875" style="177" customWidth="1"/>
    <col min="8969" max="8969" width="11" style="177" customWidth="1"/>
    <col min="8970" max="8970" width="15.7109375" style="177" customWidth="1"/>
    <col min="8971" max="8971" width="12.5703125" style="177" customWidth="1"/>
    <col min="8972" max="8972" width="13.42578125" style="177" customWidth="1"/>
    <col min="8973" max="8973" width="12.42578125" style="177" customWidth="1"/>
    <col min="8974" max="8974" width="12.7109375" style="177" customWidth="1"/>
    <col min="8975" max="8975" width="11.42578125" style="177" customWidth="1"/>
    <col min="8976" max="9216" width="9.140625" style="177"/>
    <col min="9217" max="9217" width="12.42578125" style="177" customWidth="1"/>
    <col min="9218" max="9218" width="10.85546875" style="177" customWidth="1"/>
    <col min="9219" max="9219" width="12.42578125" style="177" customWidth="1"/>
    <col min="9220" max="9220" width="12.140625" style="177" customWidth="1"/>
    <col min="9221" max="9221" width="12.85546875" style="177" customWidth="1"/>
    <col min="9222" max="9222" width="11.140625" style="177" customWidth="1"/>
    <col min="9223" max="9223" width="10.5703125" style="177" customWidth="1"/>
    <col min="9224" max="9224" width="12.85546875" style="177" customWidth="1"/>
    <col min="9225" max="9225" width="11" style="177" customWidth="1"/>
    <col min="9226" max="9226" width="15.7109375" style="177" customWidth="1"/>
    <col min="9227" max="9227" width="12.5703125" style="177" customWidth="1"/>
    <col min="9228" max="9228" width="13.42578125" style="177" customWidth="1"/>
    <col min="9229" max="9229" width="12.42578125" style="177" customWidth="1"/>
    <col min="9230" max="9230" width="12.7109375" style="177" customWidth="1"/>
    <col min="9231" max="9231" width="11.42578125" style="177" customWidth="1"/>
    <col min="9232" max="9472" width="9.140625" style="177"/>
    <col min="9473" max="9473" width="12.42578125" style="177" customWidth="1"/>
    <col min="9474" max="9474" width="10.85546875" style="177" customWidth="1"/>
    <col min="9475" max="9475" width="12.42578125" style="177" customWidth="1"/>
    <col min="9476" max="9476" width="12.140625" style="177" customWidth="1"/>
    <col min="9477" max="9477" width="12.85546875" style="177" customWidth="1"/>
    <col min="9478" max="9478" width="11.140625" style="177" customWidth="1"/>
    <col min="9479" max="9479" width="10.5703125" style="177" customWidth="1"/>
    <col min="9480" max="9480" width="12.85546875" style="177" customWidth="1"/>
    <col min="9481" max="9481" width="11" style="177" customWidth="1"/>
    <col min="9482" max="9482" width="15.7109375" style="177" customWidth="1"/>
    <col min="9483" max="9483" width="12.5703125" style="177" customWidth="1"/>
    <col min="9484" max="9484" width="13.42578125" style="177" customWidth="1"/>
    <col min="9485" max="9485" width="12.42578125" style="177" customWidth="1"/>
    <col min="9486" max="9486" width="12.7109375" style="177" customWidth="1"/>
    <col min="9487" max="9487" width="11.42578125" style="177" customWidth="1"/>
    <col min="9488" max="9728" width="9.140625" style="177"/>
    <col min="9729" max="9729" width="12.42578125" style="177" customWidth="1"/>
    <col min="9730" max="9730" width="10.85546875" style="177" customWidth="1"/>
    <col min="9731" max="9731" width="12.42578125" style="177" customWidth="1"/>
    <col min="9732" max="9732" width="12.140625" style="177" customWidth="1"/>
    <col min="9733" max="9733" width="12.85546875" style="177" customWidth="1"/>
    <col min="9734" max="9734" width="11.140625" style="177" customWidth="1"/>
    <col min="9735" max="9735" width="10.5703125" style="177" customWidth="1"/>
    <col min="9736" max="9736" width="12.85546875" style="177" customWidth="1"/>
    <col min="9737" max="9737" width="11" style="177" customWidth="1"/>
    <col min="9738" max="9738" width="15.7109375" style="177" customWidth="1"/>
    <col min="9739" max="9739" width="12.5703125" style="177" customWidth="1"/>
    <col min="9740" max="9740" width="13.42578125" style="177" customWidth="1"/>
    <col min="9741" max="9741" width="12.42578125" style="177" customWidth="1"/>
    <col min="9742" max="9742" width="12.7109375" style="177" customWidth="1"/>
    <col min="9743" max="9743" width="11.42578125" style="177" customWidth="1"/>
    <col min="9744" max="9984" width="9.140625" style="177"/>
    <col min="9985" max="9985" width="12.42578125" style="177" customWidth="1"/>
    <col min="9986" max="9986" width="10.85546875" style="177" customWidth="1"/>
    <col min="9987" max="9987" width="12.42578125" style="177" customWidth="1"/>
    <col min="9988" max="9988" width="12.140625" style="177" customWidth="1"/>
    <col min="9989" max="9989" width="12.85546875" style="177" customWidth="1"/>
    <col min="9990" max="9990" width="11.140625" style="177" customWidth="1"/>
    <col min="9991" max="9991" width="10.5703125" style="177" customWidth="1"/>
    <col min="9992" max="9992" width="12.85546875" style="177" customWidth="1"/>
    <col min="9993" max="9993" width="11" style="177" customWidth="1"/>
    <col min="9994" max="9994" width="15.7109375" style="177" customWidth="1"/>
    <col min="9995" max="9995" width="12.5703125" style="177" customWidth="1"/>
    <col min="9996" max="9996" width="13.42578125" style="177" customWidth="1"/>
    <col min="9997" max="9997" width="12.42578125" style="177" customWidth="1"/>
    <col min="9998" max="9998" width="12.7109375" style="177" customWidth="1"/>
    <col min="9999" max="9999" width="11.42578125" style="177" customWidth="1"/>
    <col min="10000" max="10240" width="9.140625" style="177"/>
    <col min="10241" max="10241" width="12.42578125" style="177" customWidth="1"/>
    <col min="10242" max="10242" width="10.85546875" style="177" customWidth="1"/>
    <col min="10243" max="10243" width="12.42578125" style="177" customWidth="1"/>
    <col min="10244" max="10244" width="12.140625" style="177" customWidth="1"/>
    <col min="10245" max="10245" width="12.85546875" style="177" customWidth="1"/>
    <col min="10246" max="10246" width="11.140625" style="177" customWidth="1"/>
    <col min="10247" max="10247" width="10.5703125" style="177" customWidth="1"/>
    <col min="10248" max="10248" width="12.85546875" style="177" customWidth="1"/>
    <col min="10249" max="10249" width="11" style="177" customWidth="1"/>
    <col min="10250" max="10250" width="15.7109375" style="177" customWidth="1"/>
    <col min="10251" max="10251" width="12.5703125" style="177" customWidth="1"/>
    <col min="10252" max="10252" width="13.42578125" style="177" customWidth="1"/>
    <col min="10253" max="10253" width="12.42578125" style="177" customWidth="1"/>
    <col min="10254" max="10254" width="12.7109375" style="177" customWidth="1"/>
    <col min="10255" max="10255" width="11.42578125" style="177" customWidth="1"/>
    <col min="10256" max="10496" width="9.140625" style="177"/>
    <col min="10497" max="10497" width="12.42578125" style="177" customWidth="1"/>
    <col min="10498" max="10498" width="10.85546875" style="177" customWidth="1"/>
    <col min="10499" max="10499" width="12.42578125" style="177" customWidth="1"/>
    <col min="10500" max="10500" width="12.140625" style="177" customWidth="1"/>
    <col min="10501" max="10501" width="12.85546875" style="177" customWidth="1"/>
    <col min="10502" max="10502" width="11.140625" style="177" customWidth="1"/>
    <col min="10503" max="10503" width="10.5703125" style="177" customWidth="1"/>
    <col min="10504" max="10504" width="12.85546875" style="177" customWidth="1"/>
    <col min="10505" max="10505" width="11" style="177" customWidth="1"/>
    <col min="10506" max="10506" width="15.7109375" style="177" customWidth="1"/>
    <col min="10507" max="10507" width="12.5703125" style="177" customWidth="1"/>
    <col min="10508" max="10508" width="13.42578125" style="177" customWidth="1"/>
    <col min="10509" max="10509" width="12.42578125" style="177" customWidth="1"/>
    <col min="10510" max="10510" width="12.7109375" style="177" customWidth="1"/>
    <col min="10511" max="10511" width="11.42578125" style="177" customWidth="1"/>
    <col min="10512" max="10752" width="9.140625" style="177"/>
    <col min="10753" max="10753" width="12.42578125" style="177" customWidth="1"/>
    <col min="10754" max="10754" width="10.85546875" style="177" customWidth="1"/>
    <col min="10755" max="10755" width="12.42578125" style="177" customWidth="1"/>
    <col min="10756" max="10756" width="12.140625" style="177" customWidth="1"/>
    <col min="10757" max="10757" width="12.85546875" style="177" customWidth="1"/>
    <col min="10758" max="10758" width="11.140625" style="177" customWidth="1"/>
    <col min="10759" max="10759" width="10.5703125" style="177" customWidth="1"/>
    <col min="10760" max="10760" width="12.85546875" style="177" customWidth="1"/>
    <col min="10761" max="10761" width="11" style="177" customWidth="1"/>
    <col min="10762" max="10762" width="15.7109375" style="177" customWidth="1"/>
    <col min="10763" max="10763" width="12.5703125" style="177" customWidth="1"/>
    <col min="10764" max="10764" width="13.42578125" style="177" customWidth="1"/>
    <col min="10765" max="10765" width="12.42578125" style="177" customWidth="1"/>
    <col min="10766" max="10766" width="12.7109375" style="177" customWidth="1"/>
    <col min="10767" max="10767" width="11.42578125" style="177" customWidth="1"/>
    <col min="10768" max="11008" width="9.140625" style="177"/>
    <col min="11009" max="11009" width="12.42578125" style="177" customWidth="1"/>
    <col min="11010" max="11010" width="10.85546875" style="177" customWidth="1"/>
    <col min="11011" max="11011" width="12.42578125" style="177" customWidth="1"/>
    <col min="11012" max="11012" width="12.140625" style="177" customWidth="1"/>
    <col min="11013" max="11013" width="12.85546875" style="177" customWidth="1"/>
    <col min="11014" max="11014" width="11.140625" style="177" customWidth="1"/>
    <col min="11015" max="11015" width="10.5703125" style="177" customWidth="1"/>
    <col min="11016" max="11016" width="12.85546875" style="177" customWidth="1"/>
    <col min="11017" max="11017" width="11" style="177" customWidth="1"/>
    <col min="11018" max="11018" width="15.7109375" style="177" customWidth="1"/>
    <col min="11019" max="11019" width="12.5703125" style="177" customWidth="1"/>
    <col min="11020" max="11020" width="13.42578125" style="177" customWidth="1"/>
    <col min="11021" max="11021" width="12.42578125" style="177" customWidth="1"/>
    <col min="11022" max="11022" width="12.7109375" style="177" customWidth="1"/>
    <col min="11023" max="11023" width="11.42578125" style="177" customWidth="1"/>
    <col min="11024" max="11264" width="9.140625" style="177"/>
    <col min="11265" max="11265" width="12.42578125" style="177" customWidth="1"/>
    <col min="11266" max="11266" width="10.85546875" style="177" customWidth="1"/>
    <col min="11267" max="11267" width="12.42578125" style="177" customWidth="1"/>
    <col min="11268" max="11268" width="12.140625" style="177" customWidth="1"/>
    <col min="11269" max="11269" width="12.85546875" style="177" customWidth="1"/>
    <col min="11270" max="11270" width="11.140625" style="177" customWidth="1"/>
    <col min="11271" max="11271" width="10.5703125" style="177" customWidth="1"/>
    <col min="11272" max="11272" width="12.85546875" style="177" customWidth="1"/>
    <col min="11273" max="11273" width="11" style="177" customWidth="1"/>
    <col min="11274" max="11274" width="15.7109375" style="177" customWidth="1"/>
    <col min="11275" max="11275" width="12.5703125" style="177" customWidth="1"/>
    <col min="11276" max="11276" width="13.42578125" style="177" customWidth="1"/>
    <col min="11277" max="11277" width="12.42578125" style="177" customWidth="1"/>
    <col min="11278" max="11278" width="12.7109375" style="177" customWidth="1"/>
    <col min="11279" max="11279" width="11.42578125" style="177" customWidth="1"/>
    <col min="11280" max="11520" width="9.140625" style="177"/>
    <col min="11521" max="11521" width="12.42578125" style="177" customWidth="1"/>
    <col min="11522" max="11522" width="10.85546875" style="177" customWidth="1"/>
    <col min="11523" max="11523" width="12.42578125" style="177" customWidth="1"/>
    <col min="11524" max="11524" width="12.140625" style="177" customWidth="1"/>
    <col min="11525" max="11525" width="12.85546875" style="177" customWidth="1"/>
    <col min="11526" max="11526" width="11.140625" style="177" customWidth="1"/>
    <col min="11527" max="11527" width="10.5703125" style="177" customWidth="1"/>
    <col min="11528" max="11528" width="12.85546875" style="177" customWidth="1"/>
    <col min="11529" max="11529" width="11" style="177" customWidth="1"/>
    <col min="11530" max="11530" width="15.7109375" style="177" customWidth="1"/>
    <col min="11531" max="11531" width="12.5703125" style="177" customWidth="1"/>
    <col min="11532" max="11532" width="13.42578125" style="177" customWidth="1"/>
    <col min="11533" max="11533" width="12.42578125" style="177" customWidth="1"/>
    <col min="11534" max="11534" width="12.7109375" style="177" customWidth="1"/>
    <col min="11535" max="11535" width="11.42578125" style="177" customWidth="1"/>
    <col min="11536" max="11776" width="9.140625" style="177"/>
    <col min="11777" max="11777" width="12.42578125" style="177" customWidth="1"/>
    <col min="11778" max="11778" width="10.85546875" style="177" customWidth="1"/>
    <col min="11779" max="11779" width="12.42578125" style="177" customWidth="1"/>
    <col min="11780" max="11780" width="12.140625" style="177" customWidth="1"/>
    <col min="11781" max="11781" width="12.85546875" style="177" customWidth="1"/>
    <col min="11782" max="11782" width="11.140625" style="177" customWidth="1"/>
    <col min="11783" max="11783" width="10.5703125" style="177" customWidth="1"/>
    <col min="11784" max="11784" width="12.85546875" style="177" customWidth="1"/>
    <col min="11785" max="11785" width="11" style="177" customWidth="1"/>
    <col min="11786" max="11786" width="15.7109375" style="177" customWidth="1"/>
    <col min="11787" max="11787" width="12.5703125" style="177" customWidth="1"/>
    <col min="11788" max="11788" width="13.42578125" style="177" customWidth="1"/>
    <col min="11789" max="11789" width="12.42578125" style="177" customWidth="1"/>
    <col min="11790" max="11790" width="12.7109375" style="177" customWidth="1"/>
    <col min="11791" max="11791" width="11.42578125" style="177" customWidth="1"/>
    <col min="11792" max="12032" width="9.140625" style="177"/>
    <col min="12033" max="12033" width="12.42578125" style="177" customWidth="1"/>
    <col min="12034" max="12034" width="10.85546875" style="177" customWidth="1"/>
    <col min="12035" max="12035" width="12.42578125" style="177" customWidth="1"/>
    <col min="12036" max="12036" width="12.140625" style="177" customWidth="1"/>
    <col min="12037" max="12037" width="12.85546875" style="177" customWidth="1"/>
    <col min="12038" max="12038" width="11.140625" style="177" customWidth="1"/>
    <col min="12039" max="12039" width="10.5703125" style="177" customWidth="1"/>
    <col min="12040" max="12040" width="12.85546875" style="177" customWidth="1"/>
    <col min="12041" max="12041" width="11" style="177" customWidth="1"/>
    <col min="12042" max="12042" width="15.7109375" style="177" customWidth="1"/>
    <col min="12043" max="12043" width="12.5703125" style="177" customWidth="1"/>
    <col min="12044" max="12044" width="13.42578125" style="177" customWidth="1"/>
    <col min="12045" max="12045" width="12.42578125" style="177" customWidth="1"/>
    <col min="12046" max="12046" width="12.7109375" style="177" customWidth="1"/>
    <col min="12047" max="12047" width="11.42578125" style="177" customWidth="1"/>
    <col min="12048" max="12288" width="9.140625" style="177"/>
    <col min="12289" max="12289" width="12.42578125" style="177" customWidth="1"/>
    <col min="12290" max="12290" width="10.85546875" style="177" customWidth="1"/>
    <col min="12291" max="12291" width="12.42578125" style="177" customWidth="1"/>
    <col min="12292" max="12292" width="12.140625" style="177" customWidth="1"/>
    <col min="12293" max="12293" width="12.85546875" style="177" customWidth="1"/>
    <col min="12294" max="12294" width="11.140625" style="177" customWidth="1"/>
    <col min="12295" max="12295" width="10.5703125" style="177" customWidth="1"/>
    <col min="12296" max="12296" width="12.85546875" style="177" customWidth="1"/>
    <col min="12297" max="12297" width="11" style="177" customWidth="1"/>
    <col min="12298" max="12298" width="15.7109375" style="177" customWidth="1"/>
    <col min="12299" max="12299" width="12.5703125" style="177" customWidth="1"/>
    <col min="12300" max="12300" width="13.42578125" style="177" customWidth="1"/>
    <col min="12301" max="12301" width="12.42578125" style="177" customWidth="1"/>
    <col min="12302" max="12302" width="12.7109375" style="177" customWidth="1"/>
    <col min="12303" max="12303" width="11.42578125" style="177" customWidth="1"/>
    <col min="12304" max="12544" width="9.140625" style="177"/>
    <col min="12545" max="12545" width="12.42578125" style="177" customWidth="1"/>
    <col min="12546" max="12546" width="10.85546875" style="177" customWidth="1"/>
    <col min="12547" max="12547" width="12.42578125" style="177" customWidth="1"/>
    <col min="12548" max="12548" width="12.140625" style="177" customWidth="1"/>
    <col min="12549" max="12549" width="12.85546875" style="177" customWidth="1"/>
    <col min="12550" max="12550" width="11.140625" style="177" customWidth="1"/>
    <col min="12551" max="12551" width="10.5703125" style="177" customWidth="1"/>
    <col min="12552" max="12552" width="12.85546875" style="177" customWidth="1"/>
    <col min="12553" max="12553" width="11" style="177" customWidth="1"/>
    <col min="12554" max="12554" width="15.7109375" style="177" customWidth="1"/>
    <col min="12555" max="12555" width="12.5703125" style="177" customWidth="1"/>
    <col min="12556" max="12556" width="13.42578125" style="177" customWidth="1"/>
    <col min="12557" max="12557" width="12.42578125" style="177" customWidth="1"/>
    <col min="12558" max="12558" width="12.7109375" style="177" customWidth="1"/>
    <col min="12559" max="12559" width="11.42578125" style="177" customWidth="1"/>
    <col min="12560" max="12800" width="9.140625" style="177"/>
    <col min="12801" max="12801" width="12.42578125" style="177" customWidth="1"/>
    <col min="12802" max="12802" width="10.85546875" style="177" customWidth="1"/>
    <col min="12803" max="12803" width="12.42578125" style="177" customWidth="1"/>
    <col min="12804" max="12804" width="12.140625" style="177" customWidth="1"/>
    <col min="12805" max="12805" width="12.85546875" style="177" customWidth="1"/>
    <col min="12806" max="12806" width="11.140625" style="177" customWidth="1"/>
    <col min="12807" max="12807" width="10.5703125" style="177" customWidth="1"/>
    <col min="12808" max="12808" width="12.85546875" style="177" customWidth="1"/>
    <col min="12809" max="12809" width="11" style="177" customWidth="1"/>
    <col min="12810" max="12810" width="15.7109375" style="177" customWidth="1"/>
    <col min="12811" max="12811" width="12.5703125" style="177" customWidth="1"/>
    <col min="12812" max="12812" width="13.42578125" style="177" customWidth="1"/>
    <col min="12813" max="12813" width="12.42578125" style="177" customWidth="1"/>
    <col min="12814" max="12814" width="12.7109375" style="177" customWidth="1"/>
    <col min="12815" max="12815" width="11.42578125" style="177" customWidth="1"/>
    <col min="12816" max="13056" width="9.140625" style="177"/>
    <col min="13057" max="13057" width="12.42578125" style="177" customWidth="1"/>
    <col min="13058" max="13058" width="10.85546875" style="177" customWidth="1"/>
    <col min="13059" max="13059" width="12.42578125" style="177" customWidth="1"/>
    <col min="13060" max="13060" width="12.140625" style="177" customWidth="1"/>
    <col min="13061" max="13061" width="12.85546875" style="177" customWidth="1"/>
    <col min="13062" max="13062" width="11.140625" style="177" customWidth="1"/>
    <col min="13063" max="13063" width="10.5703125" style="177" customWidth="1"/>
    <col min="13064" max="13064" width="12.85546875" style="177" customWidth="1"/>
    <col min="13065" max="13065" width="11" style="177" customWidth="1"/>
    <col min="13066" max="13066" width="15.7109375" style="177" customWidth="1"/>
    <col min="13067" max="13067" width="12.5703125" style="177" customWidth="1"/>
    <col min="13068" max="13068" width="13.42578125" style="177" customWidth="1"/>
    <col min="13069" max="13069" width="12.42578125" style="177" customWidth="1"/>
    <col min="13070" max="13070" width="12.7109375" style="177" customWidth="1"/>
    <col min="13071" max="13071" width="11.42578125" style="177" customWidth="1"/>
    <col min="13072" max="13312" width="9.140625" style="177"/>
    <col min="13313" max="13313" width="12.42578125" style="177" customWidth="1"/>
    <col min="13314" max="13314" width="10.85546875" style="177" customWidth="1"/>
    <col min="13315" max="13315" width="12.42578125" style="177" customWidth="1"/>
    <col min="13316" max="13316" width="12.140625" style="177" customWidth="1"/>
    <col min="13317" max="13317" width="12.85546875" style="177" customWidth="1"/>
    <col min="13318" max="13318" width="11.140625" style="177" customWidth="1"/>
    <col min="13319" max="13319" width="10.5703125" style="177" customWidth="1"/>
    <col min="13320" max="13320" width="12.85546875" style="177" customWidth="1"/>
    <col min="13321" max="13321" width="11" style="177" customWidth="1"/>
    <col min="13322" max="13322" width="15.7109375" style="177" customWidth="1"/>
    <col min="13323" max="13323" width="12.5703125" style="177" customWidth="1"/>
    <col min="13324" max="13324" width="13.42578125" style="177" customWidth="1"/>
    <col min="13325" max="13325" width="12.42578125" style="177" customWidth="1"/>
    <col min="13326" max="13326" width="12.7109375" style="177" customWidth="1"/>
    <col min="13327" max="13327" width="11.42578125" style="177" customWidth="1"/>
    <col min="13328" max="13568" width="9.140625" style="177"/>
    <col min="13569" max="13569" width="12.42578125" style="177" customWidth="1"/>
    <col min="13570" max="13570" width="10.85546875" style="177" customWidth="1"/>
    <col min="13571" max="13571" width="12.42578125" style="177" customWidth="1"/>
    <col min="13572" max="13572" width="12.140625" style="177" customWidth="1"/>
    <col min="13573" max="13573" width="12.85546875" style="177" customWidth="1"/>
    <col min="13574" max="13574" width="11.140625" style="177" customWidth="1"/>
    <col min="13575" max="13575" width="10.5703125" style="177" customWidth="1"/>
    <col min="13576" max="13576" width="12.85546875" style="177" customWidth="1"/>
    <col min="13577" max="13577" width="11" style="177" customWidth="1"/>
    <col min="13578" max="13578" width="15.7109375" style="177" customWidth="1"/>
    <col min="13579" max="13579" width="12.5703125" style="177" customWidth="1"/>
    <col min="13580" max="13580" width="13.42578125" style="177" customWidth="1"/>
    <col min="13581" max="13581" width="12.42578125" style="177" customWidth="1"/>
    <col min="13582" max="13582" width="12.7109375" style="177" customWidth="1"/>
    <col min="13583" max="13583" width="11.42578125" style="177" customWidth="1"/>
    <col min="13584" max="13824" width="9.140625" style="177"/>
    <col min="13825" max="13825" width="12.42578125" style="177" customWidth="1"/>
    <col min="13826" max="13826" width="10.85546875" style="177" customWidth="1"/>
    <col min="13827" max="13827" width="12.42578125" style="177" customWidth="1"/>
    <col min="13828" max="13828" width="12.140625" style="177" customWidth="1"/>
    <col min="13829" max="13829" width="12.85546875" style="177" customWidth="1"/>
    <col min="13830" max="13830" width="11.140625" style="177" customWidth="1"/>
    <col min="13831" max="13831" width="10.5703125" style="177" customWidth="1"/>
    <col min="13832" max="13832" width="12.85546875" style="177" customWidth="1"/>
    <col min="13833" max="13833" width="11" style="177" customWidth="1"/>
    <col min="13834" max="13834" width="15.7109375" style="177" customWidth="1"/>
    <col min="13835" max="13835" width="12.5703125" style="177" customWidth="1"/>
    <col min="13836" max="13836" width="13.42578125" style="177" customWidth="1"/>
    <col min="13837" max="13837" width="12.42578125" style="177" customWidth="1"/>
    <col min="13838" max="13838" width="12.7109375" style="177" customWidth="1"/>
    <col min="13839" max="13839" width="11.42578125" style="177" customWidth="1"/>
    <col min="13840" max="14080" width="9.140625" style="177"/>
    <col min="14081" max="14081" width="12.42578125" style="177" customWidth="1"/>
    <col min="14082" max="14082" width="10.85546875" style="177" customWidth="1"/>
    <col min="14083" max="14083" width="12.42578125" style="177" customWidth="1"/>
    <col min="14084" max="14084" width="12.140625" style="177" customWidth="1"/>
    <col min="14085" max="14085" width="12.85546875" style="177" customWidth="1"/>
    <col min="14086" max="14086" width="11.140625" style="177" customWidth="1"/>
    <col min="14087" max="14087" width="10.5703125" style="177" customWidth="1"/>
    <col min="14088" max="14088" width="12.85546875" style="177" customWidth="1"/>
    <col min="14089" max="14089" width="11" style="177" customWidth="1"/>
    <col min="14090" max="14090" width="15.7109375" style="177" customWidth="1"/>
    <col min="14091" max="14091" width="12.5703125" style="177" customWidth="1"/>
    <col min="14092" max="14092" width="13.42578125" style="177" customWidth="1"/>
    <col min="14093" max="14093" width="12.42578125" style="177" customWidth="1"/>
    <col min="14094" max="14094" width="12.7109375" style="177" customWidth="1"/>
    <col min="14095" max="14095" width="11.42578125" style="177" customWidth="1"/>
    <col min="14096" max="14336" width="9.140625" style="177"/>
    <col min="14337" max="14337" width="12.42578125" style="177" customWidth="1"/>
    <col min="14338" max="14338" width="10.85546875" style="177" customWidth="1"/>
    <col min="14339" max="14339" width="12.42578125" style="177" customWidth="1"/>
    <col min="14340" max="14340" width="12.140625" style="177" customWidth="1"/>
    <col min="14341" max="14341" width="12.85546875" style="177" customWidth="1"/>
    <col min="14342" max="14342" width="11.140625" style="177" customWidth="1"/>
    <col min="14343" max="14343" width="10.5703125" style="177" customWidth="1"/>
    <col min="14344" max="14344" width="12.85546875" style="177" customWidth="1"/>
    <col min="14345" max="14345" width="11" style="177" customWidth="1"/>
    <col min="14346" max="14346" width="15.7109375" style="177" customWidth="1"/>
    <col min="14347" max="14347" width="12.5703125" style="177" customWidth="1"/>
    <col min="14348" max="14348" width="13.42578125" style="177" customWidth="1"/>
    <col min="14349" max="14349" width="12.42578125" style="177" customWidth="1"/>
    <col min="14350" max="14350" width="12.7109375" style="177" customWidth="1"/>
    <col min="14351" max="14351" width="11.42578125" style="177" customWidth="1"/>
    <col min="14352" max="14592" width="9.140625" style="177"/>
    <col min="14593" max="14593" width="12.42578125" style="177" customWidth="1"/>
    <col min="14594" max="14594" width="10.85546875" style="177" customWidth="1"/>
    <col min="14595" max="14595" width="12.42578125" style="177" customWidth="1"/>
    <col min="14596" max="14596" width="12.140625" style="177" customWidth="1"/>
    <col min="14597" max="14597" width="12.85546875" style="177" customWidth="1"/>
    <col min="14598" max="14598" width="11.140625" style="177" customWidth="1"/>
    <col min="14599" max="14599" width="10.5703125" style="177" customWidth="1"/>
    <col min="14600" max="14600" width="12.85546875" style="177" customWidth="1"/>
    <col min="14601" max="14601" width="11" style="177" customWidth="1"/>
    <col min="14602" max="14602" width="15.7109375" style="177" customWidth="1"/>
    <col min="14603" max="14603" width="12.5703125" style="177" customWidth="1"/>
    <col min="14604" max="14604" width="13.42578125" style="177" customWidth="1"/>
    <col min="14605" max="14605" width="12.42578125" style="177" customWidth="1"/>
    <col min="14606" max="14606" width="12.7109375" style="177" customWidth="1"/>
    <col min="14607" max="14607" width="11.42578125" style="177" customWidth="1"/>
    <col min="14608" max="14848" width="9.140625" style="177"/>
    <col min="14849" max="14849" width="12.42578125" style="177" customWidth="1"/>
    <col min="14850" max="14850" width="10.85546875" style="177" customWidth="1"/>
    <col min="14851" max="14851" width="12.42578125" style="177" customWidth="1"/>
    <col min="14852" max="14852" width="12.140625" style="177" customWidth="1"/>
    <col min="14853" max="14853" width="12.85546875" style="177" customWidth="1"/>
    <col min="14854" max="14854" width="11.140625" style="177" customWidth="1"/>
    <col min="14855" max="14855" width="10.5703125" style="177" customWidth="1"/>
    <col min="14856" max="14856" width="12.85546875" style="177" customWidth="1"/>
    <col min="14857" max="14857" width="11" style="177" customWidth="1"/>
    <col min="14858" max="14858" width="15.7109375" style="177" customWidth="1"/>
    <col min="14859" max="14859" width="12.5703125" style="177" customWidth="1"/>
    <col min="14860" max="14860" width="13.42578125" style="177" customWidth="1"/>
    <col min="14861" max="14861" width="12.42578125" style="177" customWidth="1"/>
    <col min="14862" max="14862" width="12.7109375" style="177" customWidth="1"/>
    <col min="14863" max="14863" width="11.42578125" style="177" customWidth="1"/>
    <col min="14864" max="15104" width="9.140625" style="177"/>
    <col min="15105" max="15105" width="12.42578125" style="177" customWidth="1"/>
    <col min="15106" max="15106" width="10.85546875" style="177" customWidth="1"/>
    <col min="15107" max="15107" width="12.42578125" style="177" customWidth="1"/>
    <col min="15108" max="15108" width="12.140625" style="177" customWidth="1"/>
    <col min="15109" max="15109" width="12.85546875" style="177" customWidth="1"/>
    <col min="15110" max="15110" width="11.140625" style="177" customWidth="1"/>
    <col min="15111" max="15111" width="10.5703125" style="177" customWidth="1"/>
    <col min="15112" max="15112" width="12.85546875" style="177" customWidth="1"/>
    <col min="15113" max="15113" width="11" style="177" customWidth="1"/>
    <col min="15114" max="15114" width="15.7109375" style="177" customWidth="1"/>
    <col min="15115" max="15115" width="12.5703125" style="177" customWidth="1"/>
    <col min="15116" max="15116" width="13.42578125" style="177" customWidth="1"/>
    <col min="15117" max="15117" width="12.42578125" style="177" customWidth="1"/>
    <col min="15118" max="15118" width="12.7109375" style="177" customWidth="1"/>
    <col min="15119" max="15119" width="11.42578125" style="177" customWidth="1"/>
    <col min="15120" max="15360" width="9.140625" style="177"/>
    <col min="15361" max="15361" width="12.42578125" style="177" customWidth="1"/>
    <col min="15362" max="15362" width="10.85546875" style="177" customWidth="1"/>
    <col min="15363" max="15363" width="12.42578125" style="177" customWidth="1"/>
    <col min="15364" max="15364" width="12.140625" style="177" customWidth="1"/>
    <col min="15365" max="15365" width="12.85546875" style="177" customWidth="1"/>
    <col min="15366" max="15366" width="11.140625" style="177" customWidth="1"/>
    <col min="15367" max="15367" width="10.5703125" style="177" customWidth="1"/>
    <col min="15368" max="15368" width="12.85546875" style="177" customWidth="1"/>
    <col min="15369" max="15369" width="11" style="177" customWidth="1"/>
    <col min="15370" max="15370" width="15.7109375" style="177" customWidth="1"/>
    <col min="15371" max="15371" width="12.5703125" style="177" customWidth="1"/>
    <col min="15372" max="15372" width="13.42578125" style="177" customWidth="1"/>
    <col min="15373" max="15373" width="12.42578125" style="177" customWidth="1"/>
    <col min="15374" max="15374" width="12.7109375" style="177" customWidth="1"/>
    <col min="15375" max="15375" width="11.42578125" style="177" customWidth="1"/>
    <col min="15376" max="15616" width="9.140625" style="177"/>
    <col min="15617" max="15617" width="12.42578125" style="177" customWidth="1"/>
    <col min="15618" max="15618" width="10.85546875" style="177" customWidth="1"/>
    <col min="15619" max="15619" width="12.42578125" style="177" customWidth="1"/>
    <col min="15620" max="15620" width="12.140625" style="177" customWidth="1"/>
    <col min="15621" max="15621" width="12.85546875" style="177" customWidth="1"/>
    <col min="15622" max="15622" width="11.140625" style="177" customWidth="1"/>
    <col min="15623" max="15623" width="10.5703125" style="177" customWidth="1"/>
    <col min="15624" max="15624" width="12.85546875" style="177" customWidth="1"/>
    <col min="15625" max="15625" width="11" style="177" customWidth="1"/>
    <col min="15626" max="15626" width="15.7109375" style="177" customWidth="1"/>
    <col min="15627" max="15627" width="12.5703125" style="177" customWidth="1"/>
    <col min="15628" max="15628" width="13.42578125" style="177" customWidth="1"/>
    <col min="15629" max="15629" width="12.42578125" style="177" customWidth="1"/>
    <col min="15630" max="15630" width="12.7109375" style="177" customWidth="1"/>
    <col min="15631" max="15631" width="11.42578125" style="177" customWidth="1"/>
    <col min="15632" max="15872" width="9.140625" style="177"/>
    <col min="15873" max="15873" width="12.42578125" style="177" customWidth="1"/>
    <col min="15874" max="15874" width="10.85546875" style="177" customWidth="1"/>
    <col min="15875" max="15875" width="12.42578125" style="177" customWidth="1"/>
    <col min="15876" max="15876" width="12.140625" style="177" customWidth="1"/>
    <col min="15877" max="15877" width="12.85546875" style="177" customWidth="1"/>
    <col min="15878" max="15878" width="11.140625" style="177" customWidth="1"/>
    <col min="15879" max="15879" width="10.5703125" style="177" customWidth="1"/>
    <col min="15880" max="15880" width="12.85546875" style="177" customWidth="1"/>
    <col min="15881" max="15881" width="11" style="177" customWidth="1"/>
    <col min="15882" max="15882" width="15.7109375" style="177" customWidth="1"/>
    <col min="15883" max="15883" width="12.5703125" style="177" customWidth="1"/>
    <col min="15884" max="15884" width="13.42578125" style="177" customWidth="1"/>
    <col min="15885" max="15885" width="12.42578125" style="177" customWidth="1"/>
    <col min="15886" max="15886" width="12.7109375" style="177" customWidth="1"/>
    <col min="15887" max="15887" width="11.42578125" style="177" customWidth="1"/>
    <col min="15888" max="16128" width="9.140625" style="177"/>
    <col min="16129" max="16129" width="12.42578125" style="177" customWidth="1"/>
    <col min="16130" max="16130" width="10.85546875" style="177" customWidth="1"/>
    <col min="16131" max="16131" width="12.42578125" style="177" customWidth="1"/>
    <col min="16132" max="16132" width="12.140625" style="177" customWidth="1"/>
    <col min="16133" max="16133" width="12.85546875" style="177" customWidth="1"/>
    <col min="16134" max="16134" width="11.140625" style="177" customWidth="1"/>
    <col min="16135" max="16135" width="10.5703125" style="177" customWidth="1"/>
    <col min="16136" max="16136" width="12.85546875" style="177" customWidth="1"/>
    <col min="16137" max="16137" width="11" style="177" customWidth="1"/>
    <col min="16138" max="16138" width="15.7109375" style="177" customWidth="1"/>
    <col min="16139" max="16139" width="12.5703125" style="177" customWidth="1"/>
    <col min="16140" max="16140" width="13.42578125" style="177" customWidth="1"/>
    <col min="16141" max="16141" width="12.42578125" style="177" customWidth="1"/>
    <col min="16142" max="16142" width="12.7109375" style="177" customWidth="1"/>
    <col min="16143" max="16143" width="11.42578125" style="177" customWidth="1"/>
    <col min="16144" max="16384" width="9.140625" style="177"/>
  </cols>
  <sheetData>
    <row r="1" spans="1:16" s="161" customFormat="1" ht="18" x14ac:dyDescent="0.35">
      <c r="A1" s="463" t="s">
        <v>201</v>
      </c>
      <c r="B1" s="463"/>
      <c r="C1" s="463"/>
      <c r="D1" s="463"/>
      <c r="E1" s="463"/>
      <c r="F1" s="463"/>
      <c r="G1" s="463"/>
      <c r="H1" s="463"/>
      <c r="I1" s="463"/>
      <c r="J1" s="463"/>
      <c r="K1" s="463"/>
      <c r="L1" s="463"/>
      <c r="M1" s="463"/>
      <c r="N1" s="463"/>
      <c r="O1" s="463"/>
    </row>
    <row r="2" spans="1:16" s="161" customFormat="1" ht="18" x14ac:dyDescent="0.35">
      <c r="A2" s="463" t="s">
        <v>2</v>
      </c>
      <c r="B2" s="463"/>
      <c r="C2" s="463"/>
      <c r="D2" s="463"/>
      <c r="E2" s="463"/>
      <c r="F2" s="463"/>
      <c r="G2" s="463"/>
      <c r="H2" s="463"/>
      <c r="I2" s="463"/>
      <c r="J2" s="463"/>
      <c r="K2" s="463"/>
      <c r="L2" s="463"/>
      <c r="M2" s="463"/>
      <c r="N2" s="463"/>
      <c r="O2" s="463"/>
    </row>
    <row r="3" spans="1:16" s="161" customFormat="1" ht="18" x14ac:dyDescent="0.35">
      <c r="A3" s="464" t="s">
        <v>360</v>
      </c>
      <c r="B3" s="464"/>
      <c r="C3" s="464"/>
      <c r="D3" s="464"/>
      <c r="E3" s="464"/>
      <c r="F3" s="464"/>
      <c r="G3" s="464"/>
      <c r="H3" s="464"/>
      <c r="I3" s="464"/>
      <c r="J3" s="464"/>
      <c r="K3" s="464"/>
      <c r="L3" s="464"/>
      <c r="M3" s="464"/>
      <c r="N3" s="464"/>
      <c r="O3" s="464"/>
    </row>
    <row r="4" spans="1:16" s="161" customFormat="1" ht="18" x14ac:dyDescent="0.35">
      <c r="A4" s="463" t="s">
        <v>397</v>
      </c>
      <c r="B4" s="463"/>
      <c r="C4" s="463"/>
      <c r="D4" s="463"/>
      <c r="E4" s="463"/>
      <c r="F4" s="463"/>
      <c r="G4" s="463"/>
      <c r="H4" s="463"/>
      <c r="I4" s="463"/>
      <c r="J4" s="463"/>
      <c r="K4" s="463"/>
      <c r="L4" s="463"/>
      <c r="M4" s="463"/>
      <c r="N4" s="463"/>
      <c r="O4" s="463"/>
    </row>
    <row r="5" spans="1:16" s="164" customFormat="1" ht="18.75" x14ac:dyDescent="0.3">
      <c r="A5" s="162"/>
      <c r="B5" s="163"/>
      <c r="C5" s="163"/>
      <c r="D5" s="163"/>
      <c r="E5" s="163"/>
      <c r="F5" s="163"/>
      <c r="G5" s="163"/>
      <c r="H5" s="163"/>
      <c r="I5" s="163"/>
      <c r="J5" s="163"/>
      <c r="K5" s="163"/>
      <c r="L5" s="163"/>
      <c r="M5" s="163"/>
      <c r="N5" s="163"/>
      <c r="O5" s="163"/>
    </row>
    <row r="6" spans="1:16" s="167" customFormat="1" ht="45" x14ac:dyDescent="0.3">
      <c r="A6" s="165" t="s">
        <v>202</v>
      </c>
      <c r="B6" s="166" t="s">
        <v>6</v>
      </c>
      <c r="C6" s="166" t="s">
        <v>9</v>
      </c>
      <c r="D6" s="166" t="s">
        <v>10</v>
      </c>
      <c r="E6" s="166" t="s">
        <v>203</v>
      </c>
      <c r="F6" s="166" t="s">
        <v>204</v>
      </c>
      <c r="G6" s="166" t="s">
        <v>205</v>
      </c>
      <c r="H6" s="166" t="s">
        <v>206</v>
      </c>
      <c r="I6" s="166" t="s">
        <v>207</v>
      </c>
      <c r="J6" s="166" t="s">
        <v>208</v>
      </c>
      <c r="K6" s="166" t="s">
        <v>33</v>
      </c>
      <c r="L6" s="166" t="s">
        <v>209</v>
      </c>
      <c r="M6" s="166" t="s">
        <v>210</v>
      </c>
      <c r="N6" s="166" t="s">
        <v>211</v>
      </c>
      <c r="O6" s="166" t="s">
        <v>212</v>
      </c>
    </row>
    <row r="7" spans="1:16" s="171" customFormat="1" ht="15" x14ac:dyDescent="0.3">
      <c r="A7" s="168" t="s">
        <v>213</v>
      </c>
      <c r="B7" s="169">
        <v>82930</v>
      </c>
      <c r="C7" s="169">
        <v>3219</v>
      </c>
      <c r="D7" s="169">
        <v>59187</v>
      </c>
      <c r="E7" s="169">
        <v>301218</v>
      </c>
      <c r="F7" s="169" t="s">
        <v>214</v>
      </c>
      <c r="G7" s="169">
        <v>6620</v>
      </c>
      <c r="H7" s="169" t="s">
        <v>214</v>
      </c>
      <c r="I7" s="169" t="s">
        <v>214</v>
      </c>
      <c r="J7" s="169" t="s">
        <v>214</v>
      </c>
      <c r="K7" s="169" t="s">
        <v>214</v>
      </c>
      <c r="L7" s="169" t="s">
        <v>214</v>
      </c>
      <c r="M7" s="169" t="s">
        <v>214</v>
      </c>
      <c r="N7" s="169">
        <v>453174</v>
      </c>
      <c r="O7" s="170"/>
    </row>
    <row r="8" spans="1:16" s="171" customFormat="1" ht="15" x14ac:dyDescent="0.3">
      <c r="A8" s="168" t="s">
        <v>215</v>
      </c>
      <c r="B8" s="169">
        <v>82859</v>
      </c>
      <c r="C8" s="169">
        <v>2878</v>
      </c>
      <c r="D8" s="169">
        <v>56265</v>
      </c>
      <c r="E8" s="169">
        <v>307059</v>
      </c>
      <c r="F8" s="169" t="s">
        <v>214</v>
      </c>
      <c r="G8" s="169">
        <v>6641</v>
      </c>
      <c r="H8" s="169" t="s">
        <v>214</v>
      </c>
      <c r="I8" s="169" t="s">
        <v>214</v>
      </c>
      <c r="J8" s="169" t="s">
        <v>214</v>
      </c>
      <c r="K8" s="169" t="s">
        <v>214</v>
      </c>
      <c r="L8" s="169" t="s">
        <v>214</v>
      </c>
      <c r="M8" s="169" t="s">
        <v>214</v>
      </c>
      <c r="N8" s="169">
        <v>455702</v>
      </c>
      <c r="O8" s="170">
        <f t="shared" ref="O8:O46" si="0">(N8-N7)/N7</f>
        <v>5.5784312427456118E-3</v>
      </c>
    </row>
    <row r="9" spans="1:16" s="171" customFormat="1" ht="15" x14ac:dyDescent="0.3">
      <c r="A9" s="168" t="s">
        <v>216</v>
      </c>
      <c r="B9" s="169">
        <v>80725</v>
      </c>
      <c r="C9" s="169">
        <v>2656</v>
      </c>
      <c r="D9" s="169">
        <v>56773</v>
      </c>
      <c r="E9" s="169">
        <v>315651</v>
      </c>
      <c r="F9" s="169" t="s">
        <v>214</v>
      </c>
      <c r="G9" s="169">
        <v>6559</v>
      </c>
      <c r="H9" s="169" t="s">
        <v>214</v>
      </c>
      <c r="I9" s="169" t="s">
        <v>214</v>
      </c>
      <c r="J9" s="169" t="s">
        <v>214</v>
      </c>
      <c r="K9" s="169" t="s">
        <v>214</v>
      </c>
      <c r="L9" s="169" t="s">
        <v>214</v>
      </c>
      <c r="M9" s="169" t="s">
        <v>214</v>
      </c>
      <c r="N9" s="169">
        <v>462364</v>
      </c>
      <c r="O9" s="170">
        <f t="shared" si="0"/>
        <v>1.4619202900140882E-2</v>
      </c>
    </row>
    <row r="10" spans="1:16" s="171" customFormat="1" ht="15" x14ac:dyDescent="0.3">
      <c r="A10" s="168" t="s">
        <v>217</v>
      </c>
      <c r="B10" s="169">
        <v>70010</v>
      </c>
      <c r="C10" s="169">
        <v>2349</v>
      </c>
      <c r="D10" s="169">
        <v>48266</v>
      </c>
      <c r="E10" s="169">
        <v>298483</v>
      </c>
      <c r="F10" s="169" t="s">
        <v>214</v>
      </c>
      <c r="G10" s="169">
        <v>6125</v>
      </c>
      <c r="H10" s="169" t="s">
        <v>214</v>
      </c>
      <c r="I10" s="169" t="s">
        <v>214</v>
      </c>
      <c r="J10" s="169" t="s">
        <v>214</v>
      </c>
      <c r="K10" s="169" t="s">
        <v>214</v>
      </c>
      <c r="L10" s="169" t="s">
        <v>214</v>
      </c>
      <c r="M10" s="169" t="s">
        <v>214</v>
      </c>
      <c r="N10" s="169">
        <v>425233</v>
      </c>
      <c r="O10" s="170">
        <f t="shared" si="0"/>
        <v>-8.0306857800347783E-2</v>
      </c>
    </row>
    <row r="11" spans="1:16" s="171" customFormat="1" ht="15" x14ac:dyDescent="0.3">
      <c r="A11" s="168" t="s">
        <v>218</v>
      </c>
      <c r="B11" s="169">
        <v>67330</v>
      </c>
      <c r="C11" s="169">
        <v>2000</v>
      </c>
      <c r="D11" s="169">
        <v>46537</v>
      </c>
      <c r="E11" s="169">
        <v>293623</v>
      </c>
      <c r="F11" s="169" t="s">
        <v>214</v>
      </c>
      <c r="G11" s="169">
        <v>6062</v>
      </c>
      <c r="H11" s="169" t="s">
        <v>214</v>
      </c>
      <c r="I11" s="169" t="s">
        <v>214</v>
      </c>
      <c r="J11" s="169" t="s">
        <v>214</v>
      </c>
      <c r="K11" s="169" t="s">
        <v>214</v>
      </c>
      <c r="L11" s="169" t="s">
        <v>214</v>
      </c>
      <c r="M11" s="169" t="s">
        <v>214</v>
      </c>
      <c r="N11" s="169">
        <v>415552</v>
      </c>
      <c r="O11" s="170">
        <f t="shared" si="0"/>
        <v>-2.2766342217090396E-2</v>
      </c>
    </row>
    <row r="12" spans="1:16" s="171" customFormat="1" ht="15" x14ac:dyDescent="0.3">
      <c r="A12" s="168" t="s">
        <v>219</v>
      </c>
      <c r="B12" s="169">
        <v>65203</v>
      </c>
      <c r="C12" s="169">
        <v>1755</v>
      </c>
      <c r="D12" s="169">
        <v>46728</v>
      </c>
      <c r="E12" s="169">
        <v>288619</v>
      </c>
      <c r="F12" s="169" t="s">
        <v>214</v>
      </c>
      <c r="G12" s="169">
        <v>5501</v>
      </c>
      <c r="H12" s="169" t="s">
        <v>214</v>
      </c>
      <c r="I12" s="169" t="s">
        <v>214</v>
      </c>
      <c r="J12" s="169" t="s">
        <v>214</v>
      </c>
      <c r="K12" s="169" t="s">
        <v>214</v>
      </c>
      <c r="L12" s="169" t="s">
        <v>214</v>
      </c>
      <c r="M12" s="169" t="s">
        <v>214</v>
      </c>
      <c r="N12" s="169">
        <v>407806</v>
      </c>
      <c r="O12" s="170">
        <f t="shared" si="0"/>
        <v>-1.8640266440782382E-2</v>
      </c>
    </row>
    <row r="13" spans="1:16" s="171" customFormat="1" ht="15" x14ac:dyDescent="0.3">
      <c r="A13" s="168" t="s">
        <v>220</v>
      </c>
      <c r="B13" s="169">
        <v>65849</v>
      </c>
      <c r="C13" s="169">
        <v>1634</v>
      </c>
      <c r="D13" s="169">
        <v>48349</v>
      </c>
      <c r="E13" s="169">
        <v>293188</v>
      </c>
      <c r="F13" s="169" t="s">
        <v>214</v>
      </c>
      <c r="G13" s="169">
        <v>5333</v>
      </c>
      <c r="H13" s="169" t="s">
        <v>214</v>
      </c>
      <c r="I13" s="169" t="s">
        <v>214</v>
      </c>
      <c r="J13" s="169" t="s">
        <v>214</v>
      </c>
      <c r="K13" s="169" t="s">
        <v>214</v>
      </c>
      <c r="L13" s="169" t="s">
        <v>214</v>
      </c>
      <c r="M13" s="169" t="s">
        <v>214</v>
      </c>
      <c r="N13" s="169">
        <v>414353</v>
      </c>
      <c r="O13" s="170">
        <f t="shared" si="0"/>
        <v>1.6054202243223493E-2</v>
      </c>
    </row>
    <row r="14" spans="1:16" s="171" customFormat="1" ht="15" x14ac:dyDescent="0.3">
      <c r="A14" s="168" t="s">
        <v>221</v>
      </c>
      <c r="B14" s="169">
        <v>69193</v>
      </c>
      <c r="C14" s="169">
        <v>1554</v>
      </c>
      <c r="D14" s="169">
        <v>51959</v>
      </c>
      <c r="E14" s="169">
        <v>313909</v>
      </c>
      <c r="F14" s="169" t="s">
        <v>214</v>
      </c>
      <c r="G14" s="169">
        <v>5315</v>
      </c>
      <c r="H14" s="169" t="s">
        <v>214</v>
      </c>
      <c r="I14" s="169" t="s">
        <v>214</v>
      </c>
      <c r="J14" s="169" t="s">
        <v>214</v>
      </c>
      <c r="K14" s="169" t="s">
        <v>214</v>
      </c>
      <c r="L14" s="169" t="s">
        <v>214</v>
      </c>
      <c r="M14" s="169" t="s">
        <v>214</v>
      </c>
      <c r="N14" s="169">
        <v>441930</v>
      </c>
      <c r="O14" s="170">
        <f t="shared" si="0"/>
        <v>6.6554363067239775E-2</v>
      </c>
    </row>
    <row r="15" spans="1:16" s="171" customFormat="1" ht="15" x14ac:dyDescent="0.3">
      <c r="A15" s="168" t="s">
        <v>222</v>
      </c>
      <c r="B15" s="169">
        <v>72295</v>
      </c>
      <c r="C15" s="169">
        <v>1462</v>
      </c>
      <c r="D15" s="169">
        <v>54924</v>
      </c>
      <c r="E15" s="169">
        <v>317983</v>
      </c>
      <c r="F15" s="169" t="s">
        <v>214</v>
      </c>
      <c r="G15" s="169">
        <v>5361</v>
      </c>
      <c r="H15" s="169" t="s">
        <v>214</v>
      </c>
      <c r="I15" s="169" t="s">
        <v>214</v>
      </c>
      <c r="J15" s="169" t="s">
        <v>214</v>
      </c>
      <c r="K15" s="169" t="s">
        <v>214</v>
      </c>
      <c r="L15" s="169" t="s">
        <v>214</v>
      </c>
      <c r="M15" s="169" t="s">
        <v>214</v>
      </c>
      <c r="N15" s="169">
        <v>452025</v>
      </c>
      <c r="O15" s="170">
        <f t="shared" si="0"/>
        <v>2.2842984183015409E-2</v>
      </c>
    </row>
    <row r="16" spans="1:16" s="171" customFormat="1" ht="15" x14ac:dyDescent="0.3">
      <c r="A16" s="168" t="s">
        <v>223</v>
      </c>
      <c r="B16" s="169">
        <v>76308</v>
      </c>
      <c r="C16" s="169">
        <v>1394</v>
      </c>
      <c r="D16" s="169">
        <v>58258</v>
      </c>
      <c r="E16" s="169">
        <v>323778</v>
      </c>
      <c r="F16" s="169" t="s">
        <v>214</v>
      </c>
      <c r="G16" s="169">
        <v>5563</v>
      </c>
      <c r="H16" s="169">
        <v>9482</v>
      </c>
      <c r="I16" s="169">
        <v>6543</v>
      </c>
      <c r="J16" s="169" t="s">
        <v>214</v>
      </c>
      <c r="K16" s="169">
        <v>413</v>
      </c>
      <c r="L16" s="169" t="s">
        <v>214</v>
      </c>
      <c r="M16" s="169" t="s">
        <v>214</v>
      </c>
      <c r="N16" s="169">
        <v>481739</v>
      </c>
      <c r="O16" s="170">
        <f t="shared" si="0"/>
        <v>6.5735302250981689E-2</v>
      </c>
      <c r="P16" s="172"/>
    </row>
    <row r="17" spans="1:17" s="171" customFormat="1" ht="15" x14ac:dyDescent="0.3">
      <c r="A17" s="168" t="s">
        <v>224</v>
      </c>
      <c r="B17" s="169">
        <v>80044</v>
      </c>
      <c r="C17" s="169">
        <v>1304</v>
      </c>
      <c r="D17" s="169">
        <v>62419</v>
      </c>
      <c r="E17" s="169">
        <v>352321</v>
      </c>
      <c r="F17" s="169" t="s">
        <v>214</v>
      </c>
      <c r="G17" s="169">
        <v>6009</v>
      </c>
      <c r="H17" s="169">
        <v>20277</v>
      </c>
      <c r="I17" s="169">
        <v>19615</v>
      </c>
      <c r="J17" s="169">
        <v>19064</v>
      </c>
      <c r="K17" s="169">
        <v>561</v>
      </c>
      <c r="L17" s="169" t="s">
        <v>214</v>
      </c>
      <c r="M17" s="169" t="s">
        <v>214</v>
      </c>
      <c r="N17" s="169">
        <v>561614</v>
      </c>
      <c r="O17" s="170">
        <f t="shared" si="0"/>
        <v>0.165805550308362</v>
      </c>
    </row>
    <row r="18" spans="1:17" s="171" customFormat="1" ht="15" x14ac:dyDescent="0.3">
      <c r="A18" s="168" t="s">
        <v>225</v>
      </c>
      <c r="B18" s="169">
        <v>80266</v>
      </c>
      <c r="C18" s="169">
        <v>1220</v>
      </c>
      <c r="D18" s="169">
        <v>64875</v>
      </c>
      <c r="E18" s="169">
        <v>387882</v>
      </c>
      <c r="F18" s="169" t="s">
        <v>214</v>
      </c>
      <c r="G18" s="169">
        <v>5176</v>
      </c>
      <c r="H18" s="169">
        <v>28563</v>
      </c>
      <c r="I18" s="169">
        <v>36429</v>
      </c>
      <c r="J18" s="169">
        <v>33929</v>
      </c>
      <c r="K18" s="169">
        <v>1011</v>
      </c>
      <c r="L18" s="169" t="s">
        <v>214</v>
      </c>
      <c r="M18" s="169" t="s">
        <v>214</v>
      </c>
      <c r="N18" s="169">
        <v>639351</v>
      </c>
      <c r="O18" s="170">
        <f t="shared" si="0"/>
        <v>0.13841713347601733</v>
      </c>
    </row>
    <row r="19" spans="1:17" s="171" customFormat="1" ht="15" x14ac:dyDescent="0.3">
      <c r="A19" s="168" t="s">
        <v>226</v>
      </c>
      <c r="B19" s="169">
        <v>81466</v>
      </c>
      <c r="C19" s="169">
        <v>1116</v>
      </c>
      <c r="D19" s="169">
        <v>71397</v>
      </c>
      <c r="E19" s="169">
        <v>451983</v>
      </c>
      <c r="F19" s="169" t="s">
        <v>214</v>
      </c>
      <c r="G19" s="169">
        <v>4296</v>
      </c>
      <c r="H19" s="169">
        <v>37200</v>
      </c>
      <c r="I19" s="169">
        <v>61210</v>
      </c>
      <c r="J19" s="169">
        <v>42949</v>
      </c>
      <c r="K19" s="169">
        <v>1675</v>
      </c>
      <c r="L19" s="169" t="s">
        <v>214</v>
      </c>
      <c r="M19" s="169" t="s">
        <v>214</v>
      </c>
      <c r="N19" s="169">
        <v>753292</v>
      </c>
      <c r="O19" s="170">
        <f t="shared" si="0"/>
        <v>0.17821353215995595</v>
      </c>
      <c r="Q19" s="172"/>
    </row>
    <row r="20" spans="1:17" s="171" customFormat="1" ht="15" x14ac:dyDescent="0.3">
      <c r="A20" s="168" t="s">
        <v>227</v>
      </c>
      <c r="B20" s="169">
        <v>83337</v>
      </c>
      <c r="C20" s="169">
        <v>1064</v>
      </c>
      <c r="D20" s="169">
        <v>79282</v>
      </c>
      <c r="E20" s="169">
        <v>513023</v>
      </c>
      <c r="F20" s="169" t="s">
        <v>214</v>
      </c>
      <c r="G20" s="169">
        <v>4139</v>
      </c>
      <c r="H20" s="169">
        <v>43330</v>
      </c>
      <c r="I20" s="169">
        <v>94922</v>
      </c>
      <c r="J20" s="169">
        <v>56871</v>
      </c>
      <c r="K20" s="169">
        <v>1955</v>
      </c>
      <c r="L20" s="169" t="s">
        <v>214</v>
      </c>
      <c r="M20" s="169" t="s">
        <v>214</v>
      </c>
      <c r="N20" s="169">
        <v>877923</v>
      </c>
      <c r="O20" s="170">
        <f t="shared" si="0"/>
        <v>0.1654484582339916</v>
      </c>
    </row>
    <row r="21" spans="1:17" s="171" customFormat="1" ht="15" x14ac:dyDescent="0.3">
      <c r="A21" s="168" t="s">
        <v>228</v>
      </c>
      <c r="B21" s="169">
        <v>85702</v>
      </c>
      <c r="C21" s="169">
        <v>1003</v>
      </c>
      <c r="D21" s="169">
        <v>87664</v>
      </c>
      <c r="E21" s="169">
        <v>562661</v>
      </c>
      <c r="F21" s="169" t="s">
        <v>214</v>
      </c>
      <c r="G21" s="169">
        <v>4133</v>
      </c>
      <c r="H21" s="169">
        <v>45629</v>
      </c>
      <c r="I21" s="169">
        <v>132348</v>
      </c>
      <c r="J21" s="169">
        <v>71120</v>
      </c>
      <c r="K21" s="169">
        <v>2437</v>
      </c>
      <c r="L21" s="169" t="s">
        <v>214</v>
      </c>
      <c r="M21" s="169" t="s">
        <v>214</v>
      </c>
      <c r="N21" s="169">
        <v>992697</v>
      </c>
      <c r="O21" s="170">
        <f t="shared" si="0"/>
        <v>0.13073356091593455</v>
      </c>
    </row>
    <row r="22" spans="1:17" s="171" customFormat="1" ht="15" x14ac:dyDescent="0.3">
      <c r="A22" s="168" t="s">
        <v>229</v>
      </c>
      <c r="B22" s="169">
        <v>86111</v>
      </c>
      <c r="C22" s="169">
        <v>929</v>
      </c>
      <c r="D22" s="169">
        <v>90889</v>
      </c>
      <c r="E22" s="169">
        <v>581397</v>
      </c>
      <c r="F22" s="169" t="s">
        <v>214</v>
      </c>
      <c r="G22" s="169">
        <v>4100</v>
      </c>
      <c r="H22" s="169">
        <v>46970</v>
      </c>
      <c r="I22" s="169">
        <v>162417</v>
      </c>
      <c r="J22" s="169">
        <v>83460</v>
      </c>
      <c r="K22" s="169">
        <v>2330</v>
      </c>
      <c r="L22" s="169" t="s">
        <v>214</v>
      </c>
      <c r="M22" s="169" t="s">
        <v>214</v>
      </c>
      <c r="N22" s="169">
        <v>1058603</v>
      </c>
      <c r="O22" s="170">
        <f t="shared" si="0"/>
        <v>6.6390852395040986E-2</v>
      </c>
    </row>
    <row r="23" spans="1:17" s="171" customFormat="1" ht="15" x14ac:dyDescent="0.3">
      <c r="A23" s="168" t="s">
        <v>230</v>
      </c>
      <c r="B23" s="169">
        <v>127514</v>
      </c>
      <c r="C23" s="169">
        <v>2716</v>
      </c>
      <c r="D23" s="169">
        <v>155215</v>
      </c>
      <c r="E23" s="169">
        <v>533300</v>
      </c>
      <c r="F23" s="169" t="s">
        <v>214</v>
      </c>
      <c r="G23" s="169">
        <v>3808</v>
      </c>
      <c r="H23" s="169">
        <v>48115</v>
      </c>
      <c r="I23" s="169">
        <v>216888</v>
      </c>
      <c r="J23" s="169">
        <v>48373</v>
      </c>
      <c r="K23" s="169">
        <v>2857</v>
      </c>
      <c r="L23" s="169" t="s">
        <v>214</v>
      </c>
      <c r="M23" s="169" t="s">
        <v>214</v>
      </c>
      <c r="N23" s="169">
        <v>1138786</v>
      </c>
      <c r="O23" s="170">
        <f t="shared" si="0"/>
        <v>7.5744164715195406E-2</v>
      </c>
    </row>
    <row r="24" spans="1:17" s="171" customFormat="1" ht="15" x14ac:dyDescent="0.3">
      <c r="A24" s="168" t="s">
        <v>231</v>
      </c>
      <c r="B24" s="169">
        <v>131496</v>
      </c>
      <c r="C24" s="169">
        <v>2710</v>
      </c>
      <c r="D24" s="169">
        <v>171204</v>
      </c>
      <c r="E24" s="169">
        <v>496501</v>
      </c>
      <c r="F24" s="169" t="s">
        <v>214</v>
      </c>
      <c r="G24" s="169">
        <v>3696</v>
      </c>
      <c r="H24" s="169">
        <v>52466</v>
      </c>
      <c r="I24" s="169">
        <v>261525</v>
      </c>
      <c r="J24" s="169">
        <v>53072</v>
      </c>
      <c r="K24" s="169">
        <v>3919</v>
      </c>
      <c r="L24" s="169" t="s">
        <v>214</v>
      </c>
      <c r="M24" s="169" t="s">
        <v>214</v>
      </c>
      <c r="N24" s="169">
        <v>1176589</v>
      </c>
      <c r="O24" s="170">
        <f t="shared" si="0"/>
        <v>3.3195877012889168E-2</v>
      </c>
    </row>
    <row r="25" spans="1:17" s="171" customFormat="1" ht="15" x14ac:dyDescent="0.3">
      <c r="A25" s="168" t="s">
        <v>232</v>
      </c>
      <c r="B25" s="169">
        <v>132173</v>
      </c>
      <c r="C25" s="169">
        <v>2593</v>
      </c>
      <c r="D25" s="169">
        <v>176160</v>
      </c>
      <c r="E25" s="169">
        <v>462881</v>
      </c>
      <c r="F25" s="169" t="s">
        <v>214</v>
      </c>
      <c r="G25" s="169">
        <v>3747</v>
      </c>
      <c r="H25" s="169">
        <v>55838</v>
      </c>
      <c r="I25" s="169">
        <v>295882</v>
      </c>
      <c r="J25" s="169">
        <v>58036</v>
      </c>
      <c r="K25" s="169">
        <v>4823</v>
      </c>
      <c r="L25" s="169" t="s">
        <v>214</v>
      </c>
      <c r="M25" s="169" t="s">
        <v>214</v>
      </c>
      <c r="N25" s="169">
        <v>1192133</v>
      </c>
      <c r="O25" s="170">
        <f t="shared" si="0"/>
        <v>1.3211070305773724E-2</v>
      </c>
    </row>
    <row r="26" spans="1:17" s="171" customFormat="1" ht="15" x14ac:dyDescent="0.3">
      <c r="A26" s="168" t="s">
        <v>233</v>
      </c>
      <c r="B26" s="169">
        <v>131332</v>
      </c>
      <c r="C26" s="169">
        <v>2531</v>
      </c>
      <c r="D26" s="169">
        <v>180461</v>
      </c>
      <c r="E26" s="169">
        <v>414853</v>
      </c>
      <c r="F26" s="169" t="s">
        <v>214</v>
      </c>
      <c r="G26" s="169">
        <v>3905</v>
      </c>
      <c r="H26" s="169">
        <v>58899</v>
      </c>
      <c r="I26" s="169">
        <v>337849</v>
      </c>
      <c r="J26" s="169">
        <v>61032</v>
      </c>
      <c r="K26" s="169">
        <v>6311</v>
      </c>
      <c r="L26" s="169" t="s">
        <v>214</v>
      </c>
      <c r="M26" s="169" t="s">
        <v>214</v>
      </c>
      <c r="N26" s="169">
        <v>1197173</v>
      </c>
      <c r="O26" s="170">
        <f t="shared" si="0"/>
        <v>4.2277162028062304E-3</v>
      </c>
    </row>
    <row r="27" spans="1:17" s="171" customFormat="1" ht="15" x14ac:dyDescent="0.3">
      <c r="A27" s="168" t="s">
        <v>234</v>
      </c>
      <c r="B27" s="169">
        <v>152582</v>
      </c>
      <c r="C27" s="169">
        <v>2497</v>
      </c>
      <c r="D27" s="169">
        <v>199523</v>
      </c>
      <c r="E27" s="169">
        <v>344621</v>
      </c>
      <c r="F27" s="169" t="s">
        <v>214</v>
      </c>
      <c r="G27" s="169">
        <v>3941</v>
      </c>
      <c r="H27" s="169">
        <v>60896</v>
      </c>
      <c r="I27" s="169">
        <v>371986</v>
      </c>
      <c r="J27" s="169">
        <v>32737</v>
      </c>
      <c r="K27" s="169">
        <v>8036</v>
      </c>
      <c r="L27" s="169" t="s">
        <v>214</v>
      </c>
      <c r="M27" s="169" t="s">
        <v>214</v>
      </c>
      <c r="N27" s="169">
        <v>1176819</v>
      </c>
      <c r="O27" s="170">
        <f t="shared" si="0"/>
        <v>-1.7001719885095971E-2</v>
      </c>
    </row>
    <row r="28" spans="1:17" s="171" customFormat="1" ht="15" x14ac:dyDescent="0.3">
      <c r="A28" s="168" t="s">
        <v>235</v>
      </c>
      <c r="B28" s="169">
        <v>154222</v>
      </c>
      <c r="C28" s="169">
        <v>2428</v>
      </c>
      <c r="D28" s="169">
        <v>205205</v>
      </c>
      <c r="E28" s="169">
        <v>330113</v>
      </c>
      <c r="F28" s="169" t="s">
        <v>214</v>
      </c>
      <c r="G28" s="169">
        <v>4063</v>
      </c>
      <c r="H28" s="169">
        <v>60918</v>
      </c>
      <c r="I28" s="169">
        <v>421158</v>
      </c>
      <c r="J28" s="169">
        <v>33302</v>
      </c>
      <c r="K28" s="169">
        <v>9857</v>
      </c>
      <c r="L28" s="169" t="s">
        <v>214</v>
      </c>
      <c r="M28" s="169" t="s">
        <v>214</v>
      </c>
      <c r="N28" s="169">
        <v>1221266</v>
      </c>
      <c r="O28" s="170">
        <f t="shared" si="0"/>
        <v>3.7768764780310313E-2</v>
      </c>
    </row>
    <row r="29" spans="1:17" s="171" customFormat="1" ht="15" x14ac:dyDescent="0.3">
      <c r="A29" s="168" t="s">
        <v>236</v>
      </c>
      <c r="B29" s="169">
        <v>154284</v>
      </c>
      <c r="C29" s="169">
        <v>2357</v>
      </c>
      <c r="D29" s="169">
        <v>212798</v>
      </c>
      <c r="E29" s="169">
        <v>450472</v>
      </c>
      <c r="F29" s="169" t="s">
        <v>214</v>
      </c>
      <c r="G29" s="169">
        <v>4195</v>
      </c>
      <c r="H29" s="169">
        <v>57318</v>
      </c>
      <c r="I29" s="169">
        <v>424436</v>
      </c>
      <c r="J29" s="169">
        <v>36053</v>
      </c>
      <c r="K29" s="169">
        <v>12680</v>
      </c>
      <c r="L29" s="169" t="s">
        <v>214</v>
      </c>
      <c r="M29" s="169" t="s">
        <v>214</v>
      </c>
      <c r="N29" s="169">
        <v>1354593</v>
      </c>
      <c r="O29" s="170">
        <f t="shared" si="0"/>
        <v>0.10917113880186625</v>
      </c>
    </row>
    <row r="30" spans="1:17" s="171" customFormat="1" ht="15" x14ac:dyDescent="0.3">
      <c r="A30" s="168" t="s">
        <v>237</v>
      </c>
      <c r="B30" s="169">
        <v>153282</v>
      </c>
      <c r="C30" s="169">
        <v>2334</v>
      </c>
      <c r="D30" s="169">
        <v>221813</v>
      </c>
      <c r="E30" s="169">
        <v>456148</v>
      </c>
      <c r="F30" s="169" t="s">
        <v>214</v>
      </c>
      <c r="G30" s="169">
        <v>4737</v>
      </c>
      <c r="H30" s="169">
        <v>53009</v>
      </c>
      <c r="I30" s="169">
        <v>444299</v>
      </c>
      <c r="J30" s="169">
        <v>39799</v>
      </c>
      <c r="K30" s="169">
        <v>14523</v>
      </c>
      <c r="L30" s="169">
        <v>84</v>
      </c>
      <c r="M30" s="169" t="s">
        <v>214</v>
      </c>
      <c r="N30" s="169">
        <v>1390028</v>
      </c>
      <c r="O30" s="170">
        <f t="shared" si="0"/>
        <v>2.615914891041073E-2</v>
      </c>
    </row>
    <row r="31" spans="1:17" s="171" customFormat="1" ht="15" x14ac:dyDescent="0.3">
      <c r="A31" s="168" t="s">
        <v>238</v>
      </c>
      <c r="B31" s="169">
        <v>151672</v>
      </c>
      <c r="C31" s="169">
        <v>2226</v>
      </c>
      <c r="D31" s="169">
        <v>228159</v>
      </c>
      <c r="E31" s="169">
        <v>478641</v>
      </c>
      <c r="F31" s="169" t="s">
        <v>214</v>
      </c>
      <c r="G31" s="169">
        <v>4881</v>
      </c>
      <c r="H31" s="169">
        <v>51111</v>
      </c>
      <c r="I31" s="169">
        <v>474557</v>
      </c>
      <c r="J31" s="169">
        <v>41030</v>
      </c>
      <c r="K31" s="169">
        <v>14805</v>
      </c>
      <c r="L31" s="169">
        <v>201</v>
      </c>
      <c r="M31" s="169" t="s">
        <v>214</v>
      </c>
      <c r="N31" s="169">
        <v>1447283</v>
      </c>
      <c r="O31" s="170">
        <f t="shared" si="0"/>
        <v>4.1189817759066723E-2</v>
      </c>
    </row>
    <row r="32" spans="1:17" s="171" customFormat="1" ht="15" x14ac:dyDescent="0.3">
      <c r="A32" s="168" t="s">
        <v>239</v>
      </c>
      <c r="B32" s="169">
        <v>151478</v>
      </c>
      <c r="C32" s="169">
        <v>2177</v>
      </c>
      <c r="D32" s="169">
        <v>238810</v>
      </c>
      <c r="E32" s="169">
        <v>485856</v>
      </c>
      <c r="F32" s="169" t="s">
        <v>214</v>
      </c>
      <c r="G32" s="169">
        <v>4882</v>
      </c>
      <c r="H32" s="169">
        <v>53768</v>
      </c>
      <c r="I32" s="169">
        <v>517251</v>
      </c>
      <c r="J32" s="169">
        <v>42413</v>
      </c>
      <c r="K32" s="169">
        <v>15528</v>
      </c>
      <c r="L32" s="169">
        <v>197</v>
      </c>
      <c r="M32" s="169" t="s">
        <v>214</v>
      </c>
      <c r="N32" s="169">
        <v>1512360</v>
      </c>
      <c r="O32" s="170">
        <f t="shared" si="0"/>
        <v>4.4964944658370198E-2</v>
      </c>
    </row>
    <row r="33" spans="1:17" s="171" customFormat="1" ht="15" x14ac:dyDescent="0.3">
      <c r="A33" s="168" t="s">
        <v>240</v>
      </c>
      <c r="B33" s="169">
        <v>151512</v>
      </c>
      <c r="C33" s="169">
        <v>2130</v>
      </c>
      <c r="D33" s="169">
        <v>249921</v>
      </c>
      <c r="E33" s="169">
        <v>468711</v>
      </c>
      <c r="F33" s="169" t="s">
        <v>214</v>
      </c>
      <c r="G33" s="169">
        <v>5366</v>
      </c>
      <c r="H33" s="169">
        <v>57190</v>
      </c>
      <c r="I33" s="169">
        <v>567060</v>
      </c>
      <c r="J33" s="169">
        <v>44130</v>
      </c>
      <c r="K33" s="169">
        <v>17496</v>
      </c>
      <c r="L33" s="169">
        <v>235</v>
      </c>
      <c r="M33" s="169" t="s">
        <v>214</v>
      </c>
      <c r="N33" s="169">
        <v>1563751</v>
      </c>
      <c r="O33" s="170">
        <f t="shared" si="0"/>
        <v>3.3980665978999708E-2</v>
      </c>
    </row>
    <row r="34" spans="1:17" s="171" customFormat="1" ht="15" x14ac:dyDescent="0.3">
      <c r="A34" s="168" t="s">
        <v>241</v>
      </c>
      <c r="B34" s="169">
        <v>149961</v>
      </c>
      <c r="C34" s="169">
        <v>2084</v>
      </c>
      <c r="D34" s="169">
        <v>257344</v>
      </c>
      <c r="E34" s="169">
        <v>446108</v>
      </c>
      <c r="F34" s="169">
        <v>22554</v>
      </c>
      <c r="G34" s="169">
        <v>5511</v>
      </c>
      <c r="H34" s="169">
        <v>58518</v>
      </c>
      <c r="I34" s="169">
        <v>588417</v>
      </c>
      <c r="J34" s="169">
        <v>52895</v>
      </c>
      <c r="K34" s="169">
        <v>18980</v>
      </c>
      <c r="L34" s="169">
        <v>273</v>
      </c>
      <c r="M34" s="169">
        <v>41812</v>
      </c>
      <c r="N34" s="169">
        <v>1644457</v>
      </c>
      <c r="O34" s="170">
        <f t="shared" si="0"/>
        <v>5.1610518554424584E-2</v>
      </c>
    </row>
    <row r="35" spans="1:17" s="171" customFormat="1" ht="15" x14ac:dyDescent="0.3">
      <c r="A35" s="168" t="s">
        <v>242</v>
      </c>
      <c r="B35" s="169">
        <v>147813</v>
      </c>
      <c r="C35" s="169">
        <v>1988</v>
      </c>
      <c r="D35" s="169">
        <v>261594</v>
      </c>
      <c r="E35" s="169">
        <v>410325</v>
      </c>
      <c r="F35" s="169">
        <v>40728</v>
      </c>
      <c r="G35" s="169">
        <v>5599</v>
      </c>
      <c r="H35" s="169">
        <v>60016</v>
      </c>
      <c r="I35" s="169">
        <v>622292</v>
      </c>
      <c r="J35" s="169">
        <v>56612</v>
      </c>
      <c r="K35" s="169">
        <v>20731</v>
      </c>
      <c r="L35" s="169">
        <v>321</v>
      </c>
      <c r="M35" s="169">
        <v>54009</v>
      </c>
      <c r="N35" s="169">
        <v>1682028</v>
      </c>
      <c r="O35" s="170">
        <f t="shared" si="0"/>
        <v>2.2847055289375154E-2</v>
      </c>
      <c r="Q35" s="172"/>
    </row>
    <row r="36" spans="1:17" s="171" customFormat="1" ht="15" x14ac:dyDescent="0.3">
      <c r="A36" s="168" t="s">
        <v>243</v>
      </c>
      <c r="B36" s="169">
        <v>145898</v>
      </c>
      <c r="C36" s="169">
        <v>1923</v>
      </c>
      <c r="D36" s="169">
        <v>267843</v>
      </c>
      <c r="E36" s="169">
        <f>451186-47621</f>
        <v>403565</v>
      </c>
      <c r="F36" s="169">
        <v>47621</v>
      </c>
      <c r="G36" s="169">
        <v>5746</v>
      </c>
      <c r="H36" s="169">
        <v>59628</v>
      </c>
      <c r="I36" s="169">
        <v>655311</v>
      </c>
      <c r="J36" s="169">
        <v>59428</v>
      </c>
      <c r="K36" s="169">
        <v>21626</v>
      </c>
      <c r="L36" s="169">
        <v>427</v>
      </c>
      <c r="M36" s="169">
        <v>57396</v>
      </c>
      <c r="N36" s="169">
        <v>1726412</v>
      </c>
      <c r="O36" s="170">
        <f t="shared" si="0"/>
        <v>2.6387194505680049E-2</v>
      </c>
    </row>
    <row r="37" spans="1:17" s="171" customFormat="1" ht="15" x14ac:dyDescent="0.3">
      <c r="A37" s="168" t="s">
        <v>244</v>
      </c>
      <c r="B37" s="169">
        <v>143144</v>
      </c>
      <c r="C37" s="169">
        <v>1946</v>
      </c>
      <c r="D37" s="169">
        <v>275497</v>
      </c>
      <c r="E37" s="169">
        <v>426822</v>
      </c>
      <c r="F37" s="169">
        <v>61809</v>
      </c>
      <c r="G37" s="169">
        <v>5364</v>
      </c>
      <c r="H37" s="169">
        <v>58435</v>
      </c>
      <c r="I37" s="169">
        <v>706667</v>
      </c>
      <c r="J37" s="169">
        <v>64138</v>
      </c>
      <c r="K37" s="169">
        <v>21389</v>
      </c>
      <c r="L37" s="169">
        <v>530</v>
      </c>
      <c r="M37" s="169">
        <v>55722</v>
      </c>
      <c r="N37" s="169">
        <v>1821463</v>
      </c>
      <c r="O37" s="170">
        <f t="shared" si="0"/>
        <v>5.5056962069309066E-2</v>
      </c>
    </row>
    <row r="38" spans="1:17" s="171" customFormat="1" ht="15" x14ac:dyDescent="0.3">
      <c r="A38" s="168" t="s">
        <v>245</v>
      </c>
      <c r="B38" s="169">
        <v>142130</v>
      </c>
      <c r="C38" s="169">
        <v>1944</v>
      </c>
      <c r="D38" s="169">
        <v>286747</v>
      </c>
      <c r="E38" s="169">
        <v>442778</v>
      </c>
      <c r="F38" s="169">
        <v>77386</v>
      </c>
      <c r="G38" s="169">
        <v>5022</v>
      </c>
      <c r="H38" s="169">
        <v>57296</v>
      </c>
      <c r="I38" s="169">
        <v>759465</v>
      </c>
      <c r="J38" s="169">
        <v>69610</v>
      </c>
      <c r="K38" s="169">
        <v>20128</v>
      </c>
      <c r="L38" s="169">
        <v>624</v>
      </c>
      <c r="M38" s="169">
        <v>51591</v>
      </c>
      <c r="N38" s="169">
        <v>1914721</v>
      </c>
      <c r="O38" s="170">
        <f t="shared" si="0"/>
        <v>5.1199502817240866E-2</v>
      </c>
    </row>
    <row r="39" spans="1:17" s="171" customFormat="1" ht="15" x14ac:dyDescent="0.3">
      <c r="A39" s="168" t="s">
        <v>246</v>
      </c>
      <c r="B39" s="169">
        <v>143563</v>
      </c>
      <c r="C39" s="169">
        <v>1992</v>
      </c>
      <c r="D39" s="169">
        <v>299123</v>
      </c>
      <c r="E39" s="169">
        <v>452172</v>
      </c>
      <c r="F39" s="169">
        <v>87647</v>
      </c>
      <c r="G39" s="169">
        <v>4848</v>
      </c>
      <c r="H39" s="169">
        <v>58031</v>
      </c>
      <c r="I39" s="169">
        <v>789179</v>
      </c>
      <c r="J39" s="169">
        <v>74600</v>
      </c>
      <c r="K39" s="169">
        <v>18979</v>
      </c>
      <c r="L39" s="169">
        <v>693</v>
      </c>
      <c r="M39" s="169">
        <v>53188</v>
      </c>
      <c r="N39" s="169">
        <v>1984015</v>
      </c>
      <c r="O39" s="170">
        <f t="shared" si="0"/>
        <v>3.6190129005740264E-2</v>
      </c>
    </row>
    <row r="40" spans="1:17" s="171" customFormat="1" ht="15" x14ac:dyDescent="0.3">
      <c r="A40" s="168" t="s">
        <v>247</v>
      </c>
      <c r="B40" s="169">
        <v>143191</v>
      </c>
      <c r="C40" s="169">
        <v>1992</v>
      </c>
      <c r="D40" s="169">
        <v>305786</v>
      </c>
      <c r="E40" s="169">
        <v>439595</v>
      </c>
      <c r="F40" s="169">
        <v>88280</v>
      </c>
      <c r="G40" s="169">
        <v>4464</v>
      </c>
      <c r="H40" s="169">
        <v>60227</v>
      </c>
      <c r="I40" s="169">
        <v>815971</v>
      </c>
      <c r="J40" s="169">
        <v>81060</v>
      </c>
      <c r="K40" s="169">
        <v>18051</v>
      </c>
      <c r="L40" s="169">
        <v>685</v>
      </c>
      <c r="M40" s="169">
        <v>53001</v>
      </c>
      <c r="N40" s="169">
        <v>2012303</v>
      </c>
      <c r="O40" s="170">
        <f t="shared" si="0"/>
        <v>1.4257956719077225E-2</v>
      </c>
    </row>
    <row r="41" spans="1:17" s="171" customFormat="1" ht="15" x14ac:dyDescent="0.3">
      <c r="A41" s="168" t="s">
        <v>248</v>
      </c>
      <c r="B41" s="169">
        <v>143508</v>
      </c>
      <c r="C41" s="169">
        <v>1964</v>
      </c>
      <c r="D41" s="169">
        <v>311154</v>
      </c>
      <c r="E41" s="169">
        <v>419874</v>
      </c>
      <c r="F41" s="169">
        <v>82610</v>
      </c>
      <c r="G41" s="169">
        <v>4413</v>
      </c>
      <c r="H41" s="169">
        <v>60961</v>
      </c>
      <c r="I41" s="169">
        <v>854454</v>
      </c>
      <c r="J41" s="169">
        <v>83004</v>
      </c>
      <c r="K41" s="169">
        <v>21492</v>
      </c>
      <c r="L41" s="169">
        <v>737</v>
      </c>
      <c r="M41" s="169">
        <v>54080</v>
      </c>
      <c r="N41" s="169">
        <v>2038251</v>
      </c>
      <c r="O41" s="170">
        <f t="shared" si="0"/>
        <v>1.289467838590908E-2</v>
      </c>
    </row>
    <row r="42" spans="1:17" s="171" customFormat="1" ht="15" x14ac:dyDescent="0.3">
      <c r="A42" s="168" t="s">
        <v>249</v>
      </c>
      <c r="B42" s="169">
        <v>137055</v>
      </c>
      <c r="C42" s="169">
        <v>2039</v>
      </c>
      <c r="D42" s="169">
        <v>321737</v>
      </c>
      <c r="E42" s="169">
        <v>453300</v>
      </c>
      <c r="F42" s="169">
        <v>73814</v>
      </c>
      <c r="G42" s="169">
        <v>4655</v>
      </c>
      <c r="H42" s="169">
        <v>49793</v>
      </c>
      <c r="I42" s="169">
        <v>817808</v>
      </c>
      <c r="J42" s="169">
        <v>81491</v>
      </c>
      <c r="K42" s="169">
        <v>24296</v>
      </c>
      <c r="L42" s="169">
        <v>748</v>
      </c>
      <c r="M42" s="169">
        <v>127582</v>
      </c>
      <c r="N42" s="169">
        <f>SUM(B42:M42)</f>
        <v>2094318</v>
      </c>
      <c r="O42" s="170">
        <v>2.7507407085780897E-2</v>
      </c>
    </row>
    <row r="43" spans="1:17" s="171" customFormat="1" ht="15" x14ac:dyDescent="0.3">
      <c r="A43" s="168" t="s">
        <v>250</v>
      </c>
      <c r="B43" s="169">
        <v>141887</v>
      </c>
      <c r="C43" s="169">
        <v>1931</v>
      </c>
      <c r="D43" s="169">
        <v>319460</v>
      </c>
      <c r="E43" s="169">
        <v>648988</v>
      </c>
      <c r="F43" s="169">
        <v>90351</v>
      </c>
      <c r="G43" s="169">
        <v>5910</v>
      </c>
      <c r="H43" s="169">
        <v>38989</v>
      </c>
      <c r="I43" s="169">
        <v>691858</v>
      </c>
      <c r="J43" s="169">
        <v>85156</v>
      </c>
      <c r="K43" s="169">
        <v>28578</v>
      </c>
      <c r="L43" s="169">
        <v>660</v>
      </c>
      <c r="M43" s="169">
        <v>136113</v>
      </c>
      <c r="N43" s="169">
        <f>SUM(B43:M43)</f>
        <v>2189881</v>
      </c>
      <c r="O43" s="170">
        <f t="shared" si="0"/>
        <v>4.5629651275498756E-2</v>
      </c>
    </row>
    <row r="44" spans="1:17" s="171" customFormat="1" ht="15" x14ac:dyDescent="0.3">
      <c r="A44" s="168" t="s">
        <v>251</v>
      </c>
      <c r="B44" s="169">
        <v>144814</v>
      </c>
      <c r="C44" s="169">
        <v>1835</v>
      </c>
      <c r="D44" s="169">
        <v>326580</v>
      </c>
      <c r="E44" s="169">
        <v>836745</v>
      </c>
      <c r="F44" s="169">
        <v>147327</v>
      </c>
      <c r="G44" s="169">
        <v>6633</v>
      </c>
      <c r="H44" s="169">
        <v>33817</v>
      </c>
      <c r="I44" s="169">
        <v>501923</v>
      </c>
      <c r="J44" s="169">
        <v>90113</v>
      </c>
      <c r="K44" s="169">
        <v>31182</v>
      </c>
      <c r="L44" s="169">
        <v>568</v>
      </c>
      <c r="M44" s="169">
        <v>144113</v>
      </c>
      <c r="N44" s="169">
        <v>2265650</v>
      </c>
      <c r="O44" s="170">
        <f t="shared" si="0"/>
        <v>3.4599596964401264E-2</v>
      </c>
    </row>
    <row r="45" spans="1:17" s="171" customFormat="1" ht="15" x14ac:dyDescent="0.3">
      <c r="A45" s="168" t="s">
        <v>252</v>
      </c>
      <c r="B45" s="169">
        <v>148248</v>
      </c>
      <c r="C45" s="169">
        <v>1800</v>
      </c>
      <c r="D45" s="169">
        <v>332461</v>
      </c>
      <c r="E45" s="169">
        <v>887137</v>
      </c>
      <c r="F45" s="169">
        <v>214289</v>
      </c>
      <c r="G45" s="169">
        <v>6912</v>
      </c>
      <c r="H45" s="169">
        <v>31473</v>
      </c>
      <c r="I45" s="169">
        <v>434930</v>
      </c>
      <c r="J45" s="169">
        <v>87299</v>
      </c>
      <c r="K45" s="169">
        <v>36949</v>
      </c>
      <c r="L45" s="169">
        <v>613</v>
      </c>
      <c r="M45" s="169">
        <v>150095</v>
      </c>
      <c r="N45" s="169">
        <f>SUM(B45:M45)</f>
        <v>2332206</v>
      </c>
      <c r="O45" s="170">
        <f t="shared" si="0"/>
        <v>2.9376117229051264E-2</v>
      </c>
    </row>
    <row r="46" spans="1:17" s="171" customFormat="1" ht="15" x14ac:dyDescent="0.3">
      <c r="A46" s="435" t="s">
        <v>343</v>
      </c>
      <c r="B46" s="169">
        <v>150901</v>
      </c>
      <c r="C46" s="169">
        <v>1737</v>
      </c>
      <c r="D46" s="169">
        <v>336333</v>
      </c>
      <c r="E46" s="169">
        <v>825008</v>
      </c>
      <c r="F46" s="169">
        <v>316087</v>
      </c>
      <c r="G46" s="169">
        <v>6323</v>
      </c>
      <c r="H46" s="169">
        <v>32785</v>
      </c>
      <c r="I46" s="169">
        <v>457619</v>
      </c>
      <c r="J46" s="169">
        <v>89101</v>
      </c>
      <c r="K46" s="169">
        <v>40071</v>
      </c>
      <c r="L46" s="169">
        <v>675</v>
      </c>
      <c r="M46" s="169">
        <v>165982</v>
      </c>
      <c r="N46" s="169">
        <v>2422622</v>
      </c>
      <c r="O46" s="170">
        <f t="shared" si="0"/>
        <v>3.8768444982990355E-2</v>
      </c>
    </row>
    <row r="47" spans="1:17" s="171" customFormat="1" ht="15.75" customHeight="1" x14ac:dyDescent="0.3">
      <c r="A47" s="173"/>
      <c r="B47" s="226"/>
      <c r="C47" s="226"/>
      <c r="D47" s="226"/>
      <c r="E47" s="226"/>
      <c r="F47" s="226"/>
      <c r="G47" s="226"/>
      <c r="H47" s="226"/>
      <c r="I47" s="226"/>
      <c r="J47" s="226"/>
      <c r="K47" s="226"/>
      <c r="L47" s="226"/>
      <c r="M47" s="226"/>
      <c r="N47" s="414"/>
      <c r="O47" s="175"/>
    </row>
    <row r="48" spans="1:17" x14ac:dyDescent="0.3">
      <c r="A48" s="436" t="s">
        <v>361</v>
      </c>
      <c r="B48" s="174">
        <f t="shared" ref="B48:N48" si="1">B45/$N$45</f>
        <v>6.3565568393186542E-2</v>
      </c>
      <c r="C48" s="174">
        <f t="shared" si="1"/>
        <v>7.7180146179196862E-4</v>
      </c>
      <c r="D48" s="174">
        <f t="shared" si="1"/>
        <v>0.14255215877156649</v>
      </c>
      <c r="E48" s="174">
        <f t="shared" si="1"/>
        <v>0.38038535189430095</v>
      </c>
      <c r="F48" s="174">
        <f t="shared" si="1"/>
        <v>9.1882535247743979E-2</v>
      </c>
      <c r="G48" s="174">
        <f t="shared" si="1"/>
        <v>2.9637176132811596E-3</v>
      </c>
      <c r="H48" s="174">
        <f t="shared" si="1"/>
        <v>1.3494948559432571E-2</v>
      </c>
      <c r="I48" s="174">
        <f t="shared" si="1"/>
        <v>0.18648867209843384</v>
      </c>
      <c r="J48" s="174">
        <f t="shared" si="1"/>
        <v>3.7431942118320592E-2</v>
      </c>
      <c r="K48" s="174">
        <f t="shared" si="1"/>
        <v>1.5842940117639693E-2</v>
      </c>
      <c r="L48" s="174">
        <f t="shared" si="1"/>
        <v>2.6284127559915378E-4</v>
      </c>
      <c r="M48" s="174">
        <f t="shared" si="1"/>
        <v>6.4357522448703075E-2</v>
      </c>
      <c r="N48" s="174">
        <f t="shared" si="1"/>
        <v>1</v>
      </c>
    </row>
    <row r="49" spans="1:15" x14ac:dyDescent="0.3">
      <c r="A49" s="436" t="s">
        <v>362</v>
      </c>
      <c r="B49" s="174">
        <f t="shared" ref="B49:N49" si="2">B46/$N$46</f>
        <v>6.2288297555293394E-2</v>
      </c>
      <c r="C49" s="174">
        <f t="shared" si="2"/>
        <v>7.1699175521397886E-4</v>
      </c>
      <c r="D49" s="174">
        <f t="shared" si="2"/>
        <v>0.13883016004973125</v>
      </c>
      <c r="E49" s="174">
        <f t="shared" si="2"/>
        <v>0.34054342774068758</v>
      </c>
      <c r="F49" s="174">
        <f t="shared" si="2"/>
        <v>0.1304730989811865</v>
      </c>
      <c r="G49" s="174">
        <f t="shared" si="2"/>
        <v>2.6099820772699993E-3</v>
      </c>
      <c r="H49" s="174">
        <f t="shared" si="2"/>
        <v>1.3532858200742832E-2</v>
      </c>
      <c r="I49" s="174">
        <f t="shared" si="2"/>
        <v>0.18889409903814958</v>
      </c>
      <c r="J49" s="174">
        <f t="shared" si="2"/>
        <v>3.6778746333517985E-2</v>
      </c>
      <c r="K49" s="174">
        <f t="shared" si="2"/>
        <v>1.654034347909001E-2</v>
      </c>
      <c r="L49" s="174">
        <f t="shared" si="2"/>
        <v>2.7862373907278971E-4</v>
      </c>
      <c r="M49" s="174">
        <f t="shared" si="2"/>
        <v>6.8513371050044125E-2</v>
      </c>
      <c r="N49" s="174">
        <f t="shared" si="2"/>
        <v>1</v>
      </c>
    </row>
    <row r="50" spans="1:15" x14ac:dyDescent="0.3">
      <c r="A50" s="173"/>
      <c r="B50" s="178"/>
      <c r="C50" s="178"/>
      <c r="D50" s="178"/>
      <c r="E50" s="178"/>
      <c r="F50" s="178"/>
      <c r="G50" s="178"/>
      <c r="H50" s="178"/>
      <c r="I50" s="178"/>
      <c r="J50" s="178"/>
      <c r="K50" s="178"/>
      <c r="L50" s="179"/>
      <c r="M50" s="178"/>
      <c r="N50" s="178"/>
    </row>
    <row r="51" spans="1:15" s="182" customFormat="1" ht="13.5" x14ac:dyDescent="0.3">
      <c r="A51" s="180" t="s">
        <v>339</v>
      </c>
      <c r="B51" s="181"/>
      <c r="C51" s="181"/>
      <c r="D51" s="181"/>
      <c r="E51" s="181"/>
      <c r="F51" s="181"/>
      <c r="G51" s="181"/>
      <c r="H51" s="181"/>
      <c r="I51" s="181"/>
      <c r="J51" s="181"/>
      <c r="K51" s="181"/>
      <c r="L51" s="181"/>
      <c r="M51" s="181"/>
      <c r="N51" s="181"/>
      <c r="O51" s="181"/>
    </row>
    <row r="52" spans="1:15" s="182" customFormat="1" ht="13.5" x14ac:dyDescent="0.3">
      <c r="A52" s="180" t="s">
        <v>253</v>
      </c>
      <c r="B52" s="181"/>
      <c r="C52" s="181"/>
      <c r="D52" s="181"/>
      <c r="E52" s="181"/>
      <c r="F52" s="181"/>
      <c r="G52" s="181"/>
      <c r="H52" s="181"/>
      <c r="I52" s="181"/>
      <c r="J52" s="181"/>
      <c r="K52" s="181"/>
      <c r="L52" s="181"/>
      <c r="M52" s="181"/>
      <c r="N52" s="181"/>
      <c r="O52" s="181"/>
    </row>
    <row r="53" spans="1:15" s="182" customFormat="1" ht="13.5" x14ac:dyDescent="0.3">
      <c r="A53" s="183" t="s">
        <v>254</v>
      </c>
      <c r="B53" s="181"/>
      <c r="C53" s="181"/>
      <c r="D53" s="181"/>
      <c r="E53" s="181"/>
      <c r="F53" s="181"/>
      <c r="G53" s="181"/>
      <c r="H53" s="181"/>
      <c r="I53" s="181"/>
      <c r="J53" s="181"/>
      <c r="K53" s="181"/>
      <c r="L53" s="181"/>
      <c r="M53" s="181"/>
      <c r="N53" s="181"/>
      <c r="O53" s="181"/>
    </row>
    <row r="54" spans="1:15" x14ac:dyDescent="0.3">
      <c r="A54" s="183"/>
    </row>
  </sheetData>
  <mergeCells count="4">
    <mergeCell ref="A1:O1"/>
    <mergeCell ref="A2:O2"/>
    <mergeCell ref="A3:O3"/>
    <mergeCell ref="A4:O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DE5F-6A15-48AB-84C2-E2A1F9BC845B}">
  <dimension ref="A1:BE123"/>
  <sheetViews>
    <sheetView showGridLines="0" zoomScaleNormal="100" workbookViewId="0">
      <pane ySplit="6" topLeftCell="A94" activePane="bottomLeft" state="frozen"/>
      <selection pane="bottomLeft" activeCell="D110" sqref="D110"/>
    </sheetView>
  </sheetViews>
  <sheetFormatPr defaultColWidth="9.140625" defaultRowHeight="16.5" x14ac:dyDescent="0.3"/>
  <cols>
    <col min="1" max="1" width="20.42578125" style="81" customWidth="1"/>
    <col min="2" max="2" width="18.7109375" style="67" bestFit="1" customWidth="1"/>
    <col min="3" max="3" width="15.28515625" style="78" customWidth="1"/>
    <col min="4" max="4" width="21.28515625" style="79" bestFit="1" customWidth="1"/>
    <col min="5" max="5" width="16.140625" style="79" customWidth="1"/>
    <col min="6" max="6" width="14.42578125" style="79" customWidth="1"/>
    <col min="7" max="7" width="12.28515625" style="67" customWidth="1"/>
    <col min="8" max="8" width="13.5703125" style="78" customWidth="1"/>
    <col min="9" max="9" width="18" style="80" customWidth="1"/>
    <col min="10" max="16384" width="9.140625" style="67"/>
  </cols>
  <sheetData>
    <row r="1" spans="1:57" s="369" customFormat="1" ht="18" customHeight="1" x14ac:dyDescent="0.35">
      <c r="A1" s="465" t="s">
        <v>36</v>
      </c>
      <c r="B1" s="465"/>
      <c r="C1" s="465"/>
      <c r="D1" s="465"/>
      <c r="E1" s="465"/>
      <c r="F1" s="465"/>
      <c r="G1" s="465"/>
      <c r="H1" s="465"/>
      <c r="I1" s="465"/>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row>
    <row r="2" spans="1:57" s="369" customFormat="1" ht="18" x14ac:dyDescent="0.35">
      <c r="A2" s="465" t="s">
        <v>37</v>
      </c>
      <c r="B2" s="465"/>
      <c r="C2" s="465"/>
      <c r="D2" s="465"/>
      <c r="E2" s="465"/>
      <c r="F2" s="465"/>
      <c r="G2" s="465"/>
      <c r="H2" s="465"/>
      <c r="I2" s="465"/>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row>
    <row r="3" spans="1:57" s="369" customFormat="1" ht="18" x14ac:dyDescent="0.35">
      <c r="A3" s="466" t="s">
        <v>363</v>
      </c>
      <c r="B3" s="466"/>
      <c r="C3" s="466"/>
      <c r="D3" s="466"/>
      <c r="E3" s="466"/>
      <c r="F3" s="466"/>
      <c r="G3" s="466"/>
      <c r="H3" s="466"/>
      <c r="I3" s="466"/>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row>
    <row r="4" spans="1:57" s="369" customFormat="1" ht="18" x14ac:dyDescent="0.35">
      <c r="A4" s="465" t="s">
        <v>398</v>
      </c>
      <c r="B4" s="465"/>
      <c r="C4" s="465"/>
      <c r="D4" s="465"/>
      <c r="E4" s="465"/>
      <c r="F4" s="465"/>
      <c r="G4" s="465"/>
      <c r="H4" s="465"/>
      <c r="I4" s="465"/>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row>
    <row r="5" spans="1:57" s="373" customFormat="1" x14ac:dyDescent="0.3">
      <c r="A5" s="370"/>
      <c r="B5" s="371"/>
      <c r="C5" s="371"/>
      <c r="D5" s="371"/>
      <c r="E5" s="371"/>
      <c r="F5" s="371"/>
      <c r="G5" s="371"/>
      <c r="H5" s="371"/>
      <c r="I5" s="371"/>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row>
    <row r="6" spans="1:57" s="63" customFormat="1" ht="79.5" customHeight="1" x14ac:dyDescent="0.3">
      <c r="A6" s="377" t="s">
        <v>38</v>
      </c>
      <c r="B6" s="437" t="s">
        <v>364</v>
      </c>
      <c r="C6" s="378" t="s">
        <v>39</v>
      </c>
      <c r="D6" s="379" t="s">
        <v>40</v>
      </c>
      <c r="E6" s="378" t="s">
        <v>41</v>
      </c>
      <c r="F6" s="380" t="s">
        <v>42</v>
      </c>
      <c r="G6" s="378" t="s">
        <v>43</v>
      </c>
      <c r="H6" s="381" t="s">
        <v>44</v>
      </c>
      <c r="I6" s="382" t="s">
        <v>365</v>
      </c>
      <c r="J6" s="62"/>
    </row>
    <row r="7" spans="1:57" ht="16.5" customHeight="1" x14ac:dyDescent="0.3">
      <c r="A7" s="383" t="s">
        <v>45</v>
      </c>
      <c r="B7" s="384">
        <v>161076</v>
      </c>
      <c r="C7" s="385">
        <v>40314</v>
      </c>
      <c r="D7" s="257">
        <v>185420846.80000001</v>
      </c>
      <c r="E7" s="257">
        <f t="shared" ref="E7:E70" si="0">D7/C7</f>
        <v>4599.4157563129438</v>
      </c>
      <c r="F7" s="257">
        <f t="shared" ref="F7:F70" si="1">D7/B7</f>
        <v>1151.138883508406</v>
      </c>
      <c r="G7" s="239">
        <v>65</v>
      </c>
      <c r="H7" s="239">
        <f t="shared" ref="H7:H70" si="2">I7*1000</f>
        <v>250.27937122848843</v>
      </c>
      <c r="I7" s="258">
        <f t="shared" ref="I7:I70" si="3">C7/B7</f>
        <v>0.25027937122848842</v>
      </c>
    </row>
    <row r="8" spans="1:57" ht="16.5" customHeight="1" x14ac:dyDescent="0.3">
      <c r="A8" s="383" t="s">
        <v>46</v>
      </c>
      <c r="B8" s="384">
        <v>38452</v>
      </c>
      <c r="C8" s="385">
        <v>8297</v>
      </c>
      <c r="D8" s="257">
        <v>42583954.299999997</v>
      </c>
      <c r="E8" s="257">
        <f t="shared" si="0"/>
        <v>5132.4520067494268</v>
      </c>
      <c r="F8" s="257">
        <f t="shared" si="1"/>
        <v>1107.45746125039</v>
      </c>
      <c r="G8" s="239">
        <v>72</v>
      </c>
      <c r="H8" s="239">
        <f t="shared" si="2"/>
        <v>215.7755123270571</v>
      </c>
      <c r="I8" s="258">
        <f t="shared" si="3"/>
        <v>0.21577551232705711</v>
      </c>
    </row>
    <row r="9" spans="1:57" ht="16.5" customHeight="1" x14ac:dyDescent="0.3">
      <c r="A9" s="383" t="s">
        <v>47</v>
      </c>
      <c r="B9" s="384">
        <v>11233</v>
      </c>
      <c r="C9" s="385">
        <v>2913</v>
      </c>
      <c r="D9" s="257">
        <v>15880604.689999999</v>
      </c>
      <c r="E9" s="257">
        <f t="shared" si="0"/>
        <v>5451.6322313765877</v>
      </c>
      <c r="F9" s="257">
        <f t="shared" si="1"/>
        <v>1413.7456325113505</v>
      </c>
      <c r="G9" s="239">
        <v>38</v>
      </c>
      <c r="H9" s="239">
        <f t="shared" si="2"/>
        <v>259.32520252826492</v>
      </c>
      <c r="I9" s="258">
        <f t="shared" si="3"/>
        <v>0.25932520252826491</v>
      </c>
    </row>
    <row r="10" spans="1:57" ht="16.5" customHeight="1" x14ac:dyDescent="0.3">
      <c r="A10" s="383" t="s">
        <v>48</v>
      </c>
      <c r="B10" s="384">
        <v>25626</v>
      </c>
      <c r="C10" s="385">
        <v>8484</v>
      </c>
      <c r="D10" s="257">
        <v>47725181.049999997</v>
      </c>
      <c r="E10" s="257">
        <f t="shared" si="0"/>
        <v>5625.316012494106</v>
      </c>
      <c r="F10" s="257">
        <f t="shared" si="1"/>
        <v>1862.3734117692966</v>
      </c>
      <c r="G10" s="239">
        <v>11</v>
      </c>
      <c r="H10" s="239">
        <f t="shared" si="2"/>
        <v>331.07000702411614</v>
      </c>
      <c r="I10" s="258">
        <f t="shared" si="3"/>
        <v>0.33107000702411615</v>
      </c>
    </row>
    <row r="11" spans="1:57" ht="16.5" customHeight="1" x14ac:dyDescent="0.3">
      <c r="A11" s="383" t="s">
        <v>49</v>
      </c>
      <c r="B11" s="384">
        <v>27218</v>
      </c>
      <c r="C11" s="385">
        <v>6490</v>
      </c>
      <c r="D11" s="257">
        <v>38675013.140000001</v>
      </c>
      <c r="E11" s="257">
        <f t="shared" si="0"/>
        <v>5959.1699753466874</v>
      </c>
      <c r="F11" s="257">
        <f t="shared" si="1"/>
        <v>1420.9351583510911</v>
      </c>
      <c r="G11" s="239">
        <v>36</v>
      </c>
      <c r="H11" s="239">
        <f t="shared" si="2"/>
        <v>238.44514659416564</v>
      </c>
      <c r="I11" s="258">
        <f t="shared" si="3"/>
        <v>0.23844514659416563</v>
      </c>
    </row>
    <row r="12" spans="1:57" ht="16.5" customHeight="1" x14ac:dyDescent="0.3">
      <c r="A12" s="383" t="s">
        <v>50</v>
      </c>
      <c r="B12" s="384">
        <v>18072</v>
      </c>
      <c r="C12" s="385">
        <v>3546</v>
      </c>
      <c r="D12" s="257">
        <v>20705357.789999999</v>
      </c>
      <c r="E12" s="257">
        <f t="shared" si="0"/>
        <v>5839.0743908629438</v>
      </c>
      <c r="F12" s="257">
        <f t="shared" si="1"/>
        <v>1145.7147958167329</v>
      </c>
      <c r="G12" s="239">
        <v>66</v>
      </c>
      <c r="H12" s="239">
        <f t="shared" si="2"/>
        <v>196.21513944223108</v>
      </c>
      <c r="I12" s="258">
        <f t="shared" si="3"/>
        <v>0.19621513944223107</v>
      </c>
    </row>
    <row r="13" spans="1:57" ht="16.5" customHeight="1" x14ac:dyDescent="0.3">
      <c r="A13" s="383" t="s">
        <v>51</v>
      </c>
      <c r="B13" s="384">
        <v>47547</v>
      </c>
      <c r="C13" s="385">
        <v>13334</v>
      </c>
      <c r="D13" s="257">
        <v>76919559.120000005</v>
      </c>
      <c r="E13" s="257">
        <f t="shared" si="0"/>
        <v>5768.6785000749969</v>
      </c>
      <c r="F13" s="257">
        <f t="shared" si="1"/>
        <v>1617.7584099943215</v>
      </c>
      <c r="G13" s="239">
        <v>22</v>
      </c>
      <c r="H13" s="239">
        <f t="shared" si="2"/>
        <v>280.43830315266996</v>
      </c>
      <c r="I13" s="258">
        <f t="shared" si="3"/>
        <v>0.28043830315266999</v>
      </c>
    </row>
    <row r="14" spans="1:57" ht="16.5" customHeight="1" x14ac:dyDescent="0.3">
      <c r="A14" s="383" t="s">
        <v>52</v>
      </c>
      <c r="B14" s="384">
        <v>19881</v>
      </c>
      <c r="C14" s="385">
        <v>6509</v>
      </c>
      <c r="D14" s="257">
        <v>38352086.859999999</v>
      </c>
      <c r="E14" s="257">
        <f t="shared" si="0"/>
        <v>5892.1626762943615</v>
      </c>
      <c r="F14" s="257">
        <f t="shared" si="1"/>
        <v>1929.0823831799205</v>
      </c>
      <c r="G14" s="239">
        <v>9</v>
      </c>
      <c r="H14" s="239">
        <f t="shared" si="2"/>
        <v>327.39801820833964</v>
      </c>
      <c r="I14" s="258">
        <f t="shared" si="3"/>
        <v>0.32739801820833964</v>
      </c>
    </row>
    <row r="15" spans="1:57" ht="16.5" customHeight="1" x14ac:dyDescent="0.3">
      <c r="A15" s="383" t="s">
        <v>53</v>
      </c>
      <c r="B15" s="384">
        <v>34393</v>
      </c>
      <c r="C15" s="385">
        <v>10891</v>
      </c>
      <c r="D15" s="257">
        <v>61583373.990000002</v>
      </c>
      <c r="E15" s="257">
        <f t="shared" si="0"/>
        <v>5654.5196942429529</v>
      </c>
      <c r="F15" s="257">
        <f t="shared" si="1"/>
        <v>1790.5787221236881</v>
      </c>
      <c r="G15" s="239">
        <v>15</v>
      </c>
      <c r="H15" s="239">
        <f t="shared" si="2"/>
        <v>316.6632745035327</v>
      </c>
      <c r="I15" s="258">
        <f t="shared" si="3"/>
        <v>0.31666327450353271</v>
      </c>
    </row>
    <row r="16" spans="1:57" ht="16.5" customHeight="1" x14ac:dyDescent="0.3">
      <c r="A16" s="383" t="s">
        <v>54</v>
      </c>
      <c r="B16" s="384">
        <v>131726</v>
      </c>
      <c r="C16" s="385">
        <v>26550</v>
      </c>
      <c r="D16" s="257">
        <v>127753000.91</v>
      </c>
      <c r="E16" s="257">
        <f t="shared" si="0"/>
        <v>4811.7891114877584</v>
      </c>
      <c r="F16" s="257">
        <f t="shared" si="1"/>
        <v>969.83891494465786</v>
      </c>
      <c r="G16" s="239">
        <v>85</v>
      </c>
      <c r="H16" s="239">
        <f t="shared" si="2"/>
        <v>201.55474241987156</v>
      </c>
      <c r="I16" s="258">
        <f t="shared" si="3"/>
        <v>0.20155474241987156</v>
      </c>
    </row>
    <row r="17" spans="1:9" ht="16.5" customHeight="1" x14ac:dyDescent="0.3">
      <c r="A17" s="383" t="s">
        <v>55</v>
      </c>
      <c r="B17" s="384">
        <v>261532</v>
      </c>
      <c r="C17" s="385">
        <v>53521</v>
      </c>
      <c r="D17" s="257">
        <v>284980127.89999998</v>
      </c>
      <c r="E17" s="257">
        <f t="shared" si="0"/>
        <v>5324.6413164925916</v>
      </c>
      <c r="F17" s="257">
        <f t="shared" si="1"/>
        <v>1089.6568217273602</v>
      </c>
      <c r="G17" s="239">
        <v>75</v>
      </c>
      <c r="H17" s="239">
        <f t="shared" si="2"/>
        <v>204.64417356193508</v>
      </c>
      <c r="I17" s="258">
        <f t="shared" si="3"/>
        <v>0.20464417356193507</v>
      </c>
    </row>
    <row r="18" spans="1:9" ht="16.5" customHeight="1" x14ac:dyDescent="0.3">
      <c r="A18" s="383" t="s">
        <v>56</v>
      </c>
      <c r="B18" s="384">
        <v>90246</v>
      </c>
      <c r="C18" s="385">
        <v>23762</v>
      </c>
      <c r="D18" s="257">
        <v>125503800.77</v>
      </c>
      <c r="E18" s="257">
        <f t="shared" si="0"/>
        <v>5281.7019093510644</v>
      </c>
      <c r="F18" s="257">
        <f t="shared" si="1"/>
        <v>1390.6854682756023</v>
      </c>
      <c r="G18" s="239">
        <v>40</v>
      </c>
      <c r="H18" s="239">
        <f t="shared" si="2"/>
        <v>263.30252864392884</v>
      </c>
      <c r="I18" s="258">
        <f t="shared" si="3"/>
        <v>0.26330252864392883</v>
      </c>
    </row>
    <row r="19" spans="1:9" ht="16.5" customHeight="1" x14ac:dyDescent="0.3">
      <c r="A19" s="383" t="s">
        <v>57</v>
      </c>
      <c r="B19" s="384">
        <v>205473</v>
      </c>
      <c r="C19" s="385">
        <v>43522</v>
      </c>
      <c r="D19" s="257">
        <v>188420181.91</v>
      </c>
      <c r="E19" s="257">
        <f t="shared" si="0"/>
        <v>4329.3088991774275</v>
      </c>
      <c r="F19" s="257">
        <f t="shared" si="1"/>
        <v>917.00701264886379</v>
      </c>
      <c r="G19" s="239">
        <v>89</v>
      </c>
      <c r="H19" s="239">
        <f t="shared" si="2"/>
        <v>211.81371761739987</v>
      </c>
      <c r="I19" s="258">
        <f t="shared" si="3"/>
        <v>0.21181371761739987</v>
      </c>
    </row>
    <row r="20" spans="1:9" ht="16.5" customHeight="1" x14ac:dyDescent="0.3">
      <c r="A20" s="383" t="s">
        <v>58</v>
      </c>
      <c r="B20" s="384">
        <v>83303</v>
      </c>
      <c r="C20" s="385">
        <v>23512</v>
      </c>
      <c r="D20" s="257">
        <v>118710625.20999999</v>
      </c>
      <c r="E20" s="257">
        <f t="shared" si="0"/>
        <v>5048.9377853861852</v>
      </c>
      <c r="F20" s="257">
        <f t="shared" si="1"/>
        <v>1425.0462193438411</v>
      </c>
      <c r="G20" s="239">
        <v>35</v>
      </c>
      <c r="H20" s="239">
        <f t="shared" si="2"/>
        <v>282.24673781256377</v>
      </c>
      <c r="I20" s="258">
        <f t="shared" si="3"/>
        <v>0.28224673781256376</v>
      </c>
    </row>
    <row r="21" spans="1:9" ht="16.5" customHeight="1" x14ac:dyDescent="0.3">
      <c r="A21" s="383" t="s">
        <v>59</v>
      </c>
      <c r="B21" s="384">
        <v>10359</v>
      </c>
      <c r="C21" s="385">
        <v>1353</v>
      </c>
      <c r="D21" s="257">
        <v>6212218.1500000004</v>
      </c>
      <c r="E21" s="257">
        <f t="shared" si="0"/>
        <v>4591.4398743532893</v>
      </c>
      <c r="F21" s="257">
        <f t="shared" si="1"/>
        <v>599.69284197316347</v>
      </c>
      <c r="G21" s="239">
        <v>99</v>
      </c>
      <c r="H21" s="239">
        <f t="shared" si="2"/>
        <v>130.61106284390385</v>
      </c>
      <c r="I21" s="258">
        <f t="shared" si="3"/>
        <v>0.13061106284390386</v>
      </c>
    </row>
    <row r="22" spans="1:9" ht="16.5" customHeight="1" x14ac:dyDescent="0.3">
      <c r="A22" s="383" t="s">
        <v>60</v>
      </c>
      <c r="B22" s="384">
        <v>70190</v>
      </c>
      <c r="C22" s="385">
        <v>13770</v>
      </c>
      <c r="D22" s="257">
        <v>71235859.530000001</v>
      </c>
      <c r="E22" s="257">
        <f t="shared" si="0"/>
        <v>5173.2650348583875</v>
      </c>
      <c r="F22" s="257">
        <f t="shared" si="1"/>
        <v>1014.9004064681578</v>
      </c>
      <c r="G22" s="239">
        <v>81</v>
      </c>
      <c r="H22" s="239">
        <f t="shared" si="2"/>
        <v>196.18179227810228</v>
      </c>
      <c r="I22" s="258">
        <f t="shared" si="3"/>
        <v>0.19618179227810228</v>
      </c>
    </row>
    <row r="23" spans="1:9" ht="16.5" customHeight="1" x14ac:dyDescent="0.3">
      <c r="A23" s="383" t="s">
        <v>61</v>
      </c>
      <c r="B23" s="384">
        <v>23699</v>
      </c>
      <c r="C23" s="385">
        <v>6380</v>
      </c>
      <c r="D23" s="257">
        <v>30717923.699999999</v>
      </c>
      <c r="E23" s="257">
        <f t="shared" si="0"/>
        <v>4814.7215830720997</v>
      </c>
      <c r="F23" s="257">
        <f t="shared" si="1"/>
        <v>1296.1696147516773</v>
      </c>
      <c r="G23" s="239">
        <v>47</v>
      </c>
      <c r="H23" s="239">
        <f t="shared" si="2"/>
        <v>269.20967129414743</v>
      </c>
      <c r="I23" s="258">
        <f t="shared" si="3"/>
        <v>0.26920967129414741</v>
      </c>
    </row>
    <row r="24" spans="1:9" ht="16.5" customHeight="1" x14ac:dyDescent="0.3">
      <c r="A24" s="383" t="s">
        <v>62</v>
      </c>
      <c r="B24" s="384">
        <v>156949</v>
      </c>
      <c r="C24" s="385">
        <v>36700</v>
      </c>
      <c r="D24" s="257">
        <v>185446662.90000001</v>
      </c>
      <c r="E24" s="257">
        <f t="shared" si="0"/>
        <v>5053.0425858310628</v>
      </c>
      <c r="F24" s="257">
        <f t="shared" si="1"/>
        <v>1181.5727586668281</v>
      </c>
      <c r="G24" s="239">
        <v>63</v>
      </c>
      <c r="H24" s="239">
        <f t="shared" si="2"/>
        <v>233.83392057292497</v>
      </c>
      <c r="I24" s="258">
        <f t="shared" si="3"/>
        <v>0.23383392057292496</v>
      </c>
    </row>
    <row r="25" spans="1:9" ht="16.5" customHeight="1" x14ac:dyDescent="0.3">
      <c r="A25" s="383" t="s">
        <v>63</v>
      </c>
      <c r="B25" s="384">
        <v>74835</v>
      </c>
      <c r="C25" s="385">
        <v>11122</v>
      </c>
      <c r="D25" s="257">
        <v>56207930.979999997</v>
      </c>
      <c r="E25" s="257">
        <f t="shared" si="0"/>
        <v>5053.761102319726</v>
      </c>
      <c r="F25" s="257">
        <f t="shared" si="1"/>
        <v>751.09148099151457</v>
      </c>
      <c r="G25" s="239">
        <v>93</v>
      </c>
      <c r="H25" s="239">
        <f t="shared" si="2"/>
        <v>148.62029798890893</v>
      </c>
      <c r="I25" s="258">
        <f t="shared" si="3"/>
        <v>0.14862029798890894</v>
      </c>
    </row>
    <row r="26" spans="1:9" ht="16.5" customHeight="1" x14ac:dyDescent="0.3">
      <c r="A26" s="383" t="s">
        <v>64</v>
      </c>
      <c r="B26" s="384">
        <v>29216</v>
      </c>
      <c r="C26" s="385">
        <v>8219</v>
      </c>
      <c r="D26" s="257">
        <v>41856006.600000001</v>
      </c>
      <c r="E26" s="257">
        <f t="shared" si="0"/>
        <v>5092.5911424747537</v>
      </c>
      <c r="F26" s="257">
        <f t="shared" si="1"/>
        <v>1432.6398754107338</v>
      </c>
      <c r="G26" s="239">
        <v>33</v>
      </c>
      <c r="H26" s="239">
        <f t="shared" si="2"/>
        <v>281.31845564074479</v>
      </c>
      <c r="I26" s="258">
        <f t="shared" si="3"/>
        <v>0.28131845564074481</v>
      </c>
    </row>
    <row r="27" spans="1:9" ht="16.5" customHeight="1" x14ac:dyDescent="0.3">
      <c r="A27" s="383" t="s">
        <v>65</v>
      </c>
      <c r="B27" s="384">
        <v>14292</v>
      </c>
      <c r="C27" s="385">
        <v>3978</v>
      </c>
      <c r="D27" s="257">
        <v>21466213.050000001</v>
      </c>
      <c r="E27" s="257">
        <f t="shared" si="0"/>
        <v>5396.2325414781299</v>
      </c>
      <c r="F27" s="257">
        <f t="shared" si="1"/>
        <v>1501.9740449202352</v>
      </c>
      <c r="G27" s="239">
        <v>26</v>
      </c>
      <c r="H27" s="239">
        <f t="shared" si="2"/>
        <v>278.33753148614608</v>
      </c>
      <c r="I27" s="258">
        <f t="shared" si="3"/>
        <v>0.27833753148614609</v>
      </c>
    </row>
    <row r="28" spans="1:9" ht="16.5" customHeight="1" x14ac:dyDescent="0.3">
      <c r="A28" s="383" t="s">
        <v>66</v>
      </c>
      <c r="B28" s="384">
        <v>11488</v>
      </c>
      <c r="C28" s="385">
        <v>2771</v>
      </c>
      <c r="D28" s="257">
        <v>14829491.34</v>
      </c>
      <c r="E28" s="257">
        <f t="shared" si="0"/>
        <v>5351.6749693251531</v>
      </c>
      <c r="F28" s="257">
        <f t="shared" si="1"/>
        <v>1290.8679787604456</v>
      </c>
      <c r="G28" s="239">
        <v>48</v>
      </c>
      <c r="H28" s="239">
        <f t="shared" si="2"/>
        <v>241.20821727019498</v>
      </c>
      <c r="I28" s="258">
        <f t="shared" si="3"/>
        <v>0.24120821727019498</v>
      </c>
    </row>
    <row r="29" spans="1:9" ht="16.5" customHeight="1" x14ac:dyDescent="0.3">
      <c r="A29" s="383" t="s">
        <v>67</v>
      </c>
      <c r="B29" s="384">
        <v>98580</v>
      </c>
      <c r="C29" s="385">
        <v>32668</v>
      </c>
      <c r="D29" s="257">
        <v>172268394.59</v>
      </c>
      <c r="E29" s="257">
        <f t="shared" si="0"/>
        <v>5273.3070463450476</v>
      </c>
      <c r="F29" s="257">
        <f t="shared" si="1"/>
        <v>1747.4984235138975</v>
      </c>
      <c r="G29" s="239">
        <v>16</v>
      </c>
      <c r="H29" s="239">
        <f t="shared" si="2"/>
        <v>331.38567660783121</v>
      </c>
      <c r="I29" s="258">
        <f t="shared" si="3"/>
        <v>0.33138567660783119</v>
      </c>
    </row>
    <row r="30" spans="1:9" ht="16.5" customHeight="1" x14ac:dyDescent="0.3">
      <c r="A30" s="383" t="s">
        <v>68</v>
      </c>
      <c r="B30" s="384">
        <v>56941</v>
      </c>
      <c r="C30" s="385">
        <v>19682</v>
      </c>
      <c r="D30" s="257">
        <v>102311905.66</v>
      </c>
      <c r="E30" s="257">
        <f t="shared" si="0"/>
        <v>5198.2474169291736</v>
      </c>
      <c r="F30" s="257">
        <f t="shared" si="1"/>
        <v>1796.8055647073286</v>
      </c>
      <c r="G30" s="239">
        <v>14</v>
      </c>
      <c r="H30" s="239">
        <f t="shared" si="2"/>
        <v>345.65602992571257</v>
      </c>
      <c r="I30" s="258">
        <f t="shared" si="3"/>
        <v>0.34565602992571259</v>
      </c>
    </row>
    <row r="31" spans="1:9" ht="16.5" customHeight="1" x14ac:dyDescent="0.3">
      <c r="A31" s="383" t="s">
        <v>69</v>
      </c>
      <c r="B31" s="384">
        <v>103735</v>
      </c>
      <c r="C31" s="385">
        <v>23066</v>
      </c>
      <c r="D31" s="257">
        <v>108746994.93000001</v>
      </c>
      <c r="E31" s="257">
        <f t="shared" si="0"/>
        <v>4714.6013582762507</v>
      </c>
      <c r="F31" s="257">
        <f t="shared" si="1"/>
        <v>1048.315370222201</v>
      </c>
      <c r="G31" s="239">
        <v>79</v>
      </c>
      <c r="H31" s="239">
        <f t="shared" si="2"/>
        <v>222.35503928278789</v>
      </c>
      <c r="I31" s="258">
        <f t="shared" si="3"/>
        <v>0.22235503928278788</v>
      </c>
    </row>
    <row r="32" spans="1:9" ht="16.5" customHeight="1" x14ac:dyDescent="0.3">
      <c r="A32" s="383" t="s">
        <v>70</v>
      </c>
      <c r="B32" s="384">
        <v>329604</v>
      </c>
      <c r="C32" s="385">
        <v>97206</v>
      </c>
      <c r="D32" s="257">
        <v>450867868.23000002</v>
      </c>
      <c r="E32" s="257">
        <f t="shared" si="0"/>
        <v>4638.2720020369115</v>
      </c>
      <c r="F32" s="257">
        <f t="shared" si="1"/>
        <v>1367.9077566716423</v>
      </c>
      <c r="G32" s="239">
        <v>43</v>
      </c>
      <c r="H32" s="239">
        <f t="shared" si="2"/>
        <v>294.91753740852658</v>
      </c>
      <c r="I32" s="258">
        <f t="shared" si="3"/>
        <v>0.29491753740852661</v>
      </c>
    </row>
    <row r="33" spans="1:9" x14ac:dyDescent="0.3">
      <c r="A33" s="383" t="s">
        <v>71</v>
      </c>
      <c r="B33" s="384">
        <v>26604</v>
      </c>
      <c r="C33" s="385">
        <v>3606</v>
      </c>
      <c r="D33" s="257">
        <v>16127564.720000001</v>
      </c>
      <c r="E33" s="257">
        <f t="shared" si="0"/>
        <v>4472.4250471436499</v>
      </c>
      <c r="F33" s="257">
        <f t="shared" si="1"/>
        <v>606.20826642610132</v>
      </c>
      <c r="G33" s="239">
        <v>98</v>
      </c>
      <c r="H33" s="239">
        <f t="shared" si="2"/>
        <v>135.54352728912946</v>
      </c>
      <c r="I33" s="258">
        <f t="shared" si="3"/>
        <v>0.13554352728912947</v>
      </c>
    </row>
    <row r="34" spans="1:9" x14ac:dyDescent="0.3">
      <c r="A34" s="383" t="s">
        <v>72</v>
      </c>
      <c r="B34" s="384">
        <v>36792</v>
      </c>
      <c r="C34" s="385">
        <v>5995</v>
      </c>
      <c r="D34" s="257">
        <v>26675908.77</v>
      </c>
      <c r="E34" s="257">
        <f t="shared" si="0"/>
        <v>4449.6928723936617</v>
      </c>
      <c r="F34" s="257">
        <f t="shared" si="1"/>
        <v>725.04644406392697</v>
      </c>
      <c r="G34" s="239">
        <v>95</v>
      </c>
      <c r="H34" s="239">
        <f t="shared" si="2"/>
        <v>162.94303109371603</v>
      </c>
      <c r="I34" s="258">
        <f t="shared" si="3"/>
        <v>0.16294303109371602</v>
      </c>
    </row>
    <row r="35" spans="1:9" x14ac:dyDescent="0.3">
      <c r="A35" s="383" t="s">
        <v>73</v>
      </c>
      <c r="B35" s="384">
        <v>167105</v>
      </c>
      <c r="C35" s="385">
        <v>39196</v>
      </c>
      <c r="D35" s="257">
        <v>199357968.96000001</v>
      </c>
      <c r="E35" s="257">
        <f t="shared" si="0"/>
        <v>5086.1814715787332</v>
      </c>
      <c r="F35" s="257">
        <f t="shared" si="1"/>
        <v>1193.0101969420425</v>
      </c>
      <c r="G35" s="239">
        <v>61</v>
      </c>
      <c r="H35" s="239">
        <f t="shared" si="2"/>
        <v>234.55910954190477</v>
      </c>
      <c r="I35" s="258">
        <f t="shared" si="3"/>
        <v>0.23455910954190479</v>
      </c>
    </row>
    <row r="36" spans="1:9" x14ac:dyDescent="0.3">
      <c r="A36" s="383" t="s">
        <v>74</v>
      </c>
      <c r="B36" s="384">
        <v>42727</v>
      </c>
      <c r="C36" s="385">
        <v>7908</v>
      </c>
      <c r="D36" s="257">
        <v>39372828.289999999</v>
      </c>
      <c r="E36" s="257">
        <f t="shared" si="0"/>
        <v>4978.8604312089019</v>
      </c>
      <c r="F36" s="257">
        <f t="shared" si="1"/>
        <v>921.49760783579472</v>
      </c>
      <c r="G36" s="239">
        <v>88</v>
      </c>
      <c r="H36" s="239">
        <f t="shared" si="2"/>
        <v>185.08203243850494</v>
      </c>
      <c r="I36" s="258">
        <f t="shared" si="3"/>
        <v>0.18508203243850493</v>
      </c>
    </row>
    <row r="37" spans="1:9" x14ac:dyDescent="0.3">
      <c r="A37" s="383" t="s">
        <v>75</v>
      </c>
      <c r="B37" s="384">
        <v>59513</v>
      </c>
      <c r="C37" s="385">
        <v>17341</v>
      </c>
      <c r="D37" s="257">
        <v>75671449.150000006</v>
      </c>
      <c r="E37" s="257">
        <f t="shared" si="0"/>
        <v>4363.7304163543049</v>
      </c>
      <c r="F37" s="257">
        <f t="shared" si="1"/>
        <v>1271.511252163393</v>
      </c>
      <c r="G37" s="239">
        <v>49</v>
      </c>
      <c r="H37" s="239">
        <f t="shared" si="2"/>
        <v>291.38171491942938</v>
      </c>
      <c r="I37" s="258">
        <f t="shared" si="3"/>
        <v>0.29138171491942938</v>
      </c>
    </row>
    <row r="38" spans="1:9" x14ac:dyDescent="0.3">
      <c r="A38" s="383" t="s">
        <v>76</v>
      </c>
      <c r="B38" s="384">
        <v>306184</v>
      </c>
      <c r="C38" s="385">
        <v>65298</v>
      </c>
      <c r="D38" s="257">
        <v>320604712.43000001</v>
      </c>
      <c r="E38" s="257">
        <f t="shared" si="0"/>
        <v>4909.8703242059482</v>
      </c>
      <c r="F38" s="257">
        <f t="shared" si="1"/>
        <v>1047.0981907284508</v>
      </c>
      <c r="G38" s="239">
        <v>80</v>
      </c>
      <c r="H38" s="239">
        <f t="shared" si="2"/>
        <v>213.26391973453872</v>
      </c>
      <c r="I38" s="258">
        <f t="shared" si="3"/>
        <v>0.2132639197345387</v>
      </c>
    </row>
    <row r="39" spans="1:9" x14ac:dyDescent="0.3">
      <c r="A39" s="383" t="s">
        <v>77</v>
      </c>
      <c r="B39" s="384">
        <v>52856</v>
      </c>
      <c r="C39" s="385">
        <v>22014</v>
      </c>
      <c r="D39" s="257">
        <v>107907690.51000001</v>
      </c>
      <c r="E39" s="257">
        <f t="shared" si="0"/>
        <v>4901.7757113654952</v>
      </c>
      <c r="F39" s="257">
        <f t="shared" si="1"/>
        <v>2041.5409889132738</v>
      </c>
      <c r="G39" s="239">
        <v>4</v>
      </c>
      <c r="H39" s="239">
        <f t="shared" si="2"/>
        <v>416.49008627213561</v>
      </c>
      <c r="I39" s="258">
        <f t="shared" si="3"/>
        <v>0.41649008627213563</v>
      </c>
    </row>
    <row r="40" spans="1:9" x14ac:dyDescent="0.3">
      <c r="A40" s="383" t="s">
        <v>78</v>
      </c>
      <c r="B40" s="384">
        <v>372651</v>
      </c>
      <c r="C40" s="385">
        <v>91929</v>
      </c>
      <c r="D40" s="257">
        <v>416714386</v>
      </c>
      <c r="E40" s="257">
        <f t="shared" si="0"/>
        <v>4533.0024910528782</v>
      </c>
      <c r="F40" s="257">
        <f t="shared" si="1"/>
        <v>1118.2430370507525</v>
      </c>
      <c r="G40" s="239">
        <v>71</v>
      </c>
      <c r="H40" s="239">
        <f t="shared" si="2"/>
        <v>246.68926153425056</v>
      </c>
      <c r="I40" s="258">
        <f t="shared" si="3"/>
        <v>0.24668926153425055</v>
      </c>
    </row>
    <row r="41" spans="1:9" x14ac:dyDescent="0.3">
      <c r="A41" s="383" t="s">
        <v>79</v>
      </c>
      <c r="B41" s="384">
        <v>66514</v>
      </c>
      <c r="C41" s="385">
        <v>15447</v>
      </c>
      <c r="D41" s="257">
        <v>74582902.689999998</v>
      </c>
      <c r="E41" s="257">
        <f t="shared" si="0"/>
        <v>4828.3098782935194</v>
      </c>
      <c r="F41" s="257">
        <f t="shared" si="1"/>
        <v>1121.311343326217</v>
      </c>
      <c r="G41" s="239">
        <v>68</v>
      </c>
      <c r="H41" s="239">
        <f t="shared" si="2"/>
        <v>232.23682232311995</v>
      </c>
      <c r="I41" s="258">
        <f t="shared" si="3"/>
        <v>0.23223682232311996</v>
      </c>
    </row>
    <row r="42" spans="1:9" x14ac:dyDescent="0.3">
      <c r="A42" s="383" t="s">
        <v>80</v>
      </c>
      <c r="B42" s="384">
        <v>218527</v>
      </c>
      <c r="C42" s="385">
        <v>58815</v>
      </c>
      <c r="D42" s="257">
        <v>309757636.44</v>
      </c>
      <c r="E42" s="257">
        <f t="shared" si="0"/>
        <v>5266.6434827850035</v>
      </c>
      <c r="F42" s="257">
        <f t="shared" si="1"/>
        <v>1417.4799289790278</v>
      </c>
      <c r="G42" s="239">
        <v>37</v>
      </c>
      <c r="H42" s="239">
        <f t="shared" si="2"/>
        <v>269.14294343490735</v>
      </c>
      <c r="I42" s="258">
        <f t="shared" si="3"/>
        <v>0.26914294343490736</v>
      </c>
    </row>
    <row r="43" spans="1:9" x14ac:dyDescent="0.3">
      <c r="A43" s="383" t="s">
        <v>81</v>
      </c>
      <c r="B43" s="384">
        <v>11960</v>
      </c>
      <c r="C43" s="385">
        <v>2511</v>
      </c>
      <c r="D43" s="257">
        <v>11962076.119999999</v>
      </c>
      <c r="E43" s="257">
        <f t="shared" si="0"/>
        <v>4763.8694225408199</v>
      </c>
      <c r="F43" s="257">
        <f t="shared" si="1"/>
        <v>1000.1735886287624</v>
      </c>
      <c r="G43" s="239">
        <v>83</v>
      </c>
      <c r="H43" s="239">
        <f t="shared" si="2"/>
        <v>209.94983277591973</v>
      </c>
      <c r="I43" s="258">
        <f t="shared" si="3"/>
        <v>0.20994983277591972</v>
      </c>
    </row>
    <row r="44" spans="1:9" x14ac:dyDescent="0.3">
      <c r="A44" s="383" t="s">
        <v>82</v>
      </c>
      <c r="B44" s="384">
        <v>8837</v>
      </c>
      <c r="C44" s="385">
        <v>2708</v>
      </c>
      <c r="D44" s="257">
        <v>17709893.609999999</v>
      </c>
      <c r="E44" s="257">
        <f t="shared" si="0"/>
        <v>6539.8425443131464</v>
      </c>
      <c r="F44" s="257">
        <f t="shared" si="1"/>
        <v>2004.0617415412469</v>
      </c>
      <c r="G44" s="239">
        <v>5</v>
      </c>
      <c r="H44" s="239">
        <f t="shared" si="2"/>
        <v>306.43883670929051</v>
      </c>
      <c r="I44" s="258">
        <f t="shared" si="3"/>
        <v>0.30643883670929051</v>
      </c>
    </row>
    <row r="45" spans="1:9" x14ac:dyDescent="0.3">
      <c r="A45" s="383" t="s">
        <v>83</v>
      </c>
      <c r="B45" s="384">
        <v>59975</v>
      </c>
      <c r="C45" s="385">
        <v>12850</v>
      </c>
      <c r="D45" s="257">
        <v>60733438.149999999</v>
      </c>
      <c r="E45" s="257">
        <f t="shared" si="0"/>
        <v>4726.3375992217898</v>
      </c>
      <c r="F45" s="257">
        <f t="shared" si="1"/>
        <v>1012.6459049604001</v>
      </c>
      <c r="G45" s="239">
        <v>82</v>
      </c>
      <c r="H45" s="239">
        <f t="shared" si="2"/>
        <v>214.25593997498956</v>
      </c>
      <c r="I45" s="258">
        <f t="shared" si="3"/>
        <v>0.21425593997498957</v>
      </c>
    </row>
    <row r="46" spans="1:9" x14ac:dyDescent="0.3">
      <c r="A46" s="383" t="s">
        <v>84</v>
      </c>
      <c r="B46" s="384">
        <v>21522</v>
      </c>
      <c r="C46" s="385">
        <v>5776</v>
      </c>
      <c r="D46" s="257">
        <v>27201158.77</v>
      </c>
      <c r="E46" s="257">
        <f t="shared" si="0"/>
        <v>4709.3418923130193</v>
      </c>
      <c r="F46" s="257">
        <f t="shared" si="1"/>
        <v>1263.8769059566955</v>
      </c>
      <c r="G46" s="239">
        <v>53</v>
      </c>
      <c r="H46" s="239">
        <f t="shared" si="2"/>
        <v>268.37654493076849</v>
      </c>
      <c r="I46" s="258">
        <f t="shared" si="3"/>
        <v>0.26837654493076851</v>
      </c>
    </row>
    <row r="47" spans="1:9" x14ac:dyDescent="0.3">
      <c r="A47" s="383" t="s">
        <v>85</v>
      </c>
      <c r="B47" s="384">
        <v>523962</v>
      </c>
      <c r="C47" s="385">
        <v>132233</v>
      </c>
      <c r="D47" s="257">
        <v>564812198.75999999</v>
      </c>
      <c r="E47" s="257">
        <f t="shared" si="0"/>
        <v>4271.3407300749432</v>
      </c>
      <c r="F47" s="257">
        <f t="shared" si="1"/>
        <v>1077.9640484615297</v>
      </c>
      <c r="G47" s="239">
        <v>77</v>
      </c>
      <c r="H47" s="239">
        <f t="shared" si="2"/>
        <v>252.37135517461189</v>
      </c>
      <c r="I47" s="258">
        <f t="shared" si="3"/>
        <v>0.2523713551746119</v>
      </c>
    </row>
    <row r="48" spans="1:9" x14ac:dyDescent="0.3">
      <c r="A48" s="383" t="s">
        <v>86</v>
      </c>
      <c r="B48" s="384">
        <v>51815</v>
      </c>
      <c r="C48" s="385">
        <v>19116</v>
      </c>
      <c r="D48" s="257">
        <v>101581518.18000001</v>
      </c>
      <c r="E48" s="257">
        <f t="shared" si="0"/>
        <v>5313.9526145637165</v>
      </c>
      <c r="F48" s="257">
        <f t="shared" si="1"/>
        <v>1960.4654671427195</v>
      </c>
      <c r="G48" s="239">
        <v>8</v>
      </c>
      <c r="H48" s="239">
        <f t="shared" si="2"/>
        <v>368.92791662645953</v>
      </c>
      <c r="I48" s="258">
        <f t="shared" si="3"/>
        <v>0.36892791662645952</v>
      </c>
    </row>
    <row r="49" spans="1:9" x14ac:dyDescent="0.3">
      <c r="A49" s="383" t="s">
        <v>87</v>
      </c>
      <c r="B49" s="384">
        <v>130847</v>
      </c>
      <c r="C49" s="385">
        <v>30705</v>
      </c>
      <c r="D49" s="257">
        <v>137205203.18000001</v>
      </c>
      <c r="E49" s="257">
        <f t="shared" si="0"/>
        <v>4468.4970910275206</v>
      </c>
      <c r="F49" s="257">
        <f t="shared" si="1"/>
        <v>1048.5926553914114</v>
      </c>
      <c r="G49" s="239">
        <v>78</v>
      </c>
      <c r="H49" s="239">
        <f t="shared" si="2"/>
        <v>234.66338548075234</v>
      </c>
      <c r="I49" s="258">
        <f t="shared" si="3"/>
        <v>0.23466338548075233</v>
      </c>
    </row>
    <row r="50" spans="1:9" x14ac:dyDescent="0.3">
      <c r="A50" s="383" t="s">
        <v>88</v>
      </c>
      <c r="B50" s="384">
        <v>62277</v>
      </c>
      <c r="C50" s="385">
        <v>16060</v>
      </c>
      <c r="D50" s="257">
        <v>87291750.640000001</v>
      </c>
      <c r="E50" s="257">
        <f t="shared" si="0"/>
        <v>5435.3518455790781</v>
      </c>
      <c r="F50" s="257">
        <f t="shared" si="1"/>
        <v>1401.6691658236589</v>
      </c>
      <c r="G50" s="239">
        <v>39</v>
      </c>
      <c r="H50" s="239">
        <f t="shared" si="2"/>
        <v>257.88011625479714</v>
      </c>
      <c r="I50" s="258">
        <f t="shared" si="3"/>
        <v>0.25788011625479712</v>
      </c>
    </row>
    <row r="51" spans="1:9" x14ac:dyDescent="0.3">
      <c r="A51" s="383" t="s">
        <v>89</v>
      </c>
      <c r="B51" s="384">
        <v>116173</v>
      </c>
      <c r="C51" s="385">
        <v>20675</v>
      </c>
      <c r="D51" s="257">
        <v>115166648.05</v>
      </c>
      <c r="E51" s="257">
        <f t="shared" si="0"/>
        <v>5570.3336420798059</v>
      </c>
      <c r="F51" s="257">
        <f t="shared" si="1"/>
        <v>991.33747127129368</v>
      </c>
      <c r="G51" s="239">
        <v>84</v>
      </c>
      <c r="H51" s="239">
        <f t="shared" si="2"/>
        <v>177.96734180919836</v>
      </c>
      <c r="I51" s="258">
        <f t="shared" si="3"/>
        <v>0.17796734180919835</v>
      </c>
    </row>
    <row r="52" spans="1:9" x14ac:dyDescent="0.3">
      <c r="A52" s="383" t="s">
        <v>90</v>
      </c>
      <c r="B52" s="384">
        <v>23947</v>
      </c>
      <c r="C52" s="385">
        <v>7978</v>
      </c>
      <c r="D52" s="257">
        <v>43110219.130000003</v>
      </c>
      <c r="E52" s="257">
        <f t="shared" si="0"/>
        <v>5403.6373940837302</v>
      </c>
      <c r="F52" s="257">
        <f t="shared" si="1"/>
        <v>1800.2346485989895</v>
      </c>
      <c r="G52" s="239">
        <v>13</v>
      </c>
      <c r="H52" s="239">
        <f t="shared" si="2"/>
        <v>333.15237816845536</v>
      </c>
      <c r="I52" s="258">
        <f t="shared" si="3"/>
        <v>0.33315237816845533</v>
      </c>
    </row>
    <row r="53" spans="1:9" x14ac:dyDescent="0.3">
      <c r="A53" s="383" t="s">
        <v>91</v>
      </c>
      <c r="B53" s="384">
        <v>53343</v>
      </c>
      <c r="C53" s="385">
        <v>16244</v>
      </c>
      <c r="D53" s="257">
        <v>65740406.859999999</v>
      </c>
      <c r="E53" s="257">
        <f t="shared" si="0"/>
        <v>4047.0577973405566</v>
      </c>
      <c r="F53" s="257">
        <f t="shared" si="1"/>
        <v>1232.4092544476314</v>
      </c>
      <c r="G53" s="239">
        <v>57</v>
      </c>
      <c r="H53" s="239">
        <f t="shared" si="2"/>
        <v>304.51980578520141</v>
      </c>
      <c r="I53" s="258">
        <f t="shared" si="3"/>
        <v>0.30451980578520144</v>
      </c>
    </row>
    <row r="54" spans="1:9" x14ac:dyDescent="0.3">
      <c r="A54" s="383" t="s">
        <v>92</v>
      </c>
      <c r="B54" s="384">
        <v>5644</v>
      </c>
      <c r="C54" s="385">
        <v>1352</v>
      </c>
      <c r="D54" s="257">
        <v>6350365.3399999999</v>
      </c>
      <c r="E54" s="257">
        <f t="shared" si="0"/>
        <v>4697.0157840236689</v>
      </c>
      <c r="F54" s="257">
        <f t="shared" si="1"/>
        <v>1125.1533203401843</v>
      </c>
      <c r="G54" s="239">
        <v>67</v>
      </c>
      <c r="H54" s="239">
        <f t="shared" si="2"/>
        <v>239.54642097802977</v>
      </c>
      <c r="I54" s="258">
        <f t="shared" si="3"/>
        <v>0.23954642097802978</v>
      </c>
    </row>
    <row r="55" spans="1:9" x14ac:dyDescent="0.3">
      <c r="A55" s="383" t="s">
        <v>93</v>
      </c>
      <c r="B55" s="384">
        <v>176563</v>
      </c>
      <c r="C55" s="385">
        <v>33538</v>
      </c>
      <c r="D55" s="257">
        <v>165429532.90000001</v>
      </c>
      <c r="E55" s="257">
        <f t="shared" si="0"/>
        <v>4932.5998240801482</v>
      </c>
      <c r="F55" s="257">
        <f t="shared" si="1"/>
        <v>936.94337375327791</v>
      </c>
      <c r="G55" s="239">
        <v>87</v>
      </c>
      <c r="H55" s="239">
        <f t="shared" si="2"/>
        <v>189.94919660404503</v>
      </c>
      <c r="I55" s="258">
        <f t="shared" si="3"/>
        <v>0.18994919660404502</v>
      </c>
    </row>
    <row r="56" spans="1:9" x14ac:dyDescent="0.3">
      <c r="A56" s="383" t="s">
        <v>94</v>
      </c>
      <c r="B56" s="384">
        <v>43116</v>
      </c>
      <c r="C56" s="385">
        <v>9010</v>
      </c>
      <c r="D56" s="257">
        <v>49711866.490000002</v>
      </c>
      <c r="E56" s="257">
        <f t="shared" si="0"/>
        <v>5517.4102652608217</v>
      </c>
      <c r="F56" s="257">
        <f t="shared" si="1"/>
        <v>1152.9795549216069</v>
      </c>
      <c r="G56" s="239">
        <v>64</v>
      </c>
      <c r="H56" s="239">
        <f t="shared" si="2"/>
        <v>208.97114760181833</v>
      </c>
      <c r="I56" s="258">
        <f t="shared" si="3"/>
        <v>0.20897114760181834</v>
      </c>
    </row>
    <row r="57" spans="1:9" x14ac:dyDescent="0.3">
      <c r="A57" s="383" t="s">
        <v>95</v>
      </c>
      <c r="B57" s="384">
        <v>194705</v>
      </c>
      <c r="C57" s="385">
        <v>47724</v>
      </c>
      <c r="D57" s="257">
        <v>217849172.91999999</v>
      </c>
      <c r="E57" s="257">
        <f t="shared" si="0"/>
        <v>4564.7718741094623</v>
      </c>
      <c r="F57" s="257">
        <f t="shared" si="1"/>
        <v>1118.8678920418067</v>
      </c>
      <c r="G57" s="239">
        <v>70</v>
      </c>
      <c r="H57" s="239">
        <f t="shared" si="2"/>
        <v>245.10926786677283</v>
      </c>
      <c r="I57" s="258">
        <f t="shared" si="3"/>
        <v>0.24510926786677281</v>
      </c>
    </row>
    <row r="58" spans="1:9" x14ac:dyDescent="0.3">
      <c r="A58" s="383" t="s">
        <v>96</v>
      </c>
      <c r="B58" s="384">
        <v>10356</v>
      </c>
      <c r="C58" s="385">
        <v>2689</v>
      </c>
      <c r="D58" s="257">
        <v>15854539.109999999</v>
      </c>
      <c r="E58" s="257">
        <f t="shared" si="0"/>
        <v>5896.0725585719592</v>
      </c>
      <c r="F58" s="257">
        <f t="shared" si="1"/>
        <v>1530.952019119351</v>
      </c>
      <c r="G58" s="239">
        <v>25</v>
      </c>
      <c r="H58" s="239">
        <f t="shared" si="2"/>
        <v>259.65623792970263</v>
      </c>
      <c r="I58" s="258">
        <f t="shared" si="3"/>
        <v>0.2596562379297026</v>
      </c>
    </row>
    <row r="59" spans="1:9" x14ac:dyDescent="0.3">
      <c r="A59" s="383" t="s">
        <v>97</v>
      </c>
      <c r="B59" s="384">
        <v>59337</v>
      </c>
      <c r="C59" s="385">
        <v>17270</v>
      </c>
      <c r="D59" s="257">
        <v>77359070.069999993</v>
      </c>
      <c r="E59" s="257">
        <f t="shared" si="0"/>
        <v>4479.390276201505</v>
      </c>
      <c r="F59" s="257">
        <f t="shared" si="1"/>
        <v>1303.7239845290458</v>
      </c>
      <c r="G59" s="239">
        <v>46</v>
      </c>
      <c r="H59" s="239">
        <f t="shared" si="2"/>
        <v>291.0494295296358</v>
      </c>
      <c r="I59" s="258">
        <f t="shared" si="3"/>
        <v>0.29104942952963581</v>
      </c>
    </row>
    <row r="60" spans="1:9" x14ac:dyDescent="0.3">
      <c r="A60" s="383" t="s">
        <v>98</v>
      </c>
      <c r="B60" s="384">
        <v>57477</v>
      </c>
      <c r="C60" s="385">
        <v>19808</v>
      </c>
      <c r="D60" s="257">
        <v>106320100.86</v>
      </c>
      <c r="E60" s="257">
        <f t="shared" si="0"/>
        <v>5367.5333632875609</v>
      </c>
      <c r="F60" s="257">
        <f t="shared" si="1"/>
        <v>1849.7851464063885</v>
      </c>
      <c r="G60" s="239">
        <v>12</v>
      </c>
      <c r="H60" s="239">
        <f t="shared" si="2"/>
        <v>344.62480644431685</v>
      </c>
      <c r="I60" s="258">
        <f t="shared" si="3"/>
        <v>0.34462480644431687</v>
      </c>
    </row>
    <row r="61" spans="1:9" x14ac:dyDescent="0.3">
      <c r="A61" s="383" t="s">
        <v>99</v>
      </c>
      <c r="B61" s="384">
        <v>83251</v>
      </c>
      <c r="C61" s="385">
        <v>17598</v>
      </c>
      <c r="D61" s="257">
        <v>90055676.709999993</v>
      </c>
      <c r="E61" s="257">
        <f t="shared" si="0"/>
        <v>5117.3813336742805</v>
      </c>
      <c r="F61" s="257">
        <f t="shared" si="1"/>
        <v>1081.7368765540352</v>
      </c>
      <c r="G61" s="239">
        <v>76</v>
      </c>
      <c r="H61" s="239">
        <f t="shared" si="2"/>
        <v>211.38484823005129</v>
      </c>
      <c r="I61" s="258">
        <f t="shared" si="3"/>
        <v>0.2113848482300513</v>
      </c>
    </row>
    <row r="62" spans="1:9" x14ac:dyDescent="0.3">
      <c r="A62" s="383" t="s">
        <v>100</v>
      </c>
      <c r="B62" s="384">
        <v>35413</v>
      </c>
      <c r="C62" s="385">
        <v>8749</v>
      </c>
      <c r="D62" s="257">
        <v>42244408.420000002</v>
      </c>
      <c r="E62" s="257">
        <f t="shared" si="0"/>
        <v>4828.4842176248712</v>
      </c>
      <c r="F62" s="257">
        <f t="shared" si="1"/>
        <v>1192.9067975037417</v>
      </c>
      <c r="G62" s="239">
        <v>62</v>
      </c>
      <c r="H62" s="239">
        <f t="shared" si="2"/>
        <v>247.05616581481377</v>
      </c>
      <c r="I62" s="258">
        <f t="shared" si="3"/>
        <v>0.24705616581481377</v>
      </c>
    </row>
    <row r="63" spans="1:9" x14ac:dyDescent="0.3">
      <c r="A63" s="383" t="s">
        <v>101</v>
      </c>
      <c r="B63" s="384">
        <v>22240</v>
      </c>
      <c r="C63" s="385">
        <v>5568</v>
      </c>
      <c r="D63" s="257">
        <v>30738639.84</v>
      </c>
      <c r="E63" s="257">
        <f t="shared" si="0"/>
        <v>5520.5890517241378</v>
      </c>
      <c r="F63" s="257">
        <f t="shared" si="1"/>
        <v>1382.1330863309352</v>
      </c>
      <c r="G63" s="239">
        <v>42</v>
      </c>
      <c r="H63" s="239">
        <f t="shared" si="2"/>
        <v>250.35971223021579</v>
      </c>
      <c r="I63" s="258">
        <f t="shared" si="3"/>
        <v>0.2503597122302158</v>
      </c>
    </row>
    <row r="64" spans="1:9" x14ac:dyDescent="0.3">
      <c r="A64" s="383" t="s">
        <v>102</v>
      </c>
      <c r="B64" s="384">
        <v>23510</v>
      </c>
      <c r="C64" s="385">
        <v>7166</v>
      </c>
      <c r="D64" s="257">
        <v>40663608.799999997</v>
      </c>
      <c r="E64" s="257">
        <f t="shared" si="0"/>
        <v>5674.519787887245</v>
      </c>
      <c r="F64" s="257">
        <f t="shared" si="1"/>
        <v>1729.6303190131857</v>
      </c>
      <c r="G64" s="239">
        <v>19</v>
      </c>
      <c r="H64" s="239">
        <f t="shared" si="2"/>
        <v>304.80646533390046</v>
      </c>
      <c r="I64" s="258">
        <f t="shared" si="3"/>
        <v>0.30480646533390049</v>
      </c>
    </row>
    <row r="65" spans="1:9" x14ac:dyDescent="0.3">
      <c r="A65" s="383" t="s">
        <v>103</v>
      </c>
      <c r="B65" s="384">
        <v>45716</v>
      </c>
      <c r="C65" s="385">
        <v>12580</v>
      </c>
      <c r="D65" s="257">
        <v>74551839.359999999</v>
      </c>
      <c r="E65" s="257">
        <f t="shared" si="0"/>
        <v>5926.2193449920505</v>
      </c>
      <c r="F65" s="257">
        <f t="shared" si="1"/>
        <v>1630.7603324875317</v>
      </c>
      <c r="G65" s="239">
        <v>21</v>
      </c>
      <c r="H65" s="239">
        <f t="shared" si="2"/>
        <v>275.17718085571789</v>
      </c>
      <c r="I65" s="258">
        <f t="shared" si="3"/>
        <v>0.27517718085571791</v>
      </c>
    </row>
    <row r="66" spans="1:9" x14ac:dyDescent="0.3">
      <c r="A66" s="383" t="s">
        <v>104</v>
      </c>
      <c r="B66" s="384">
        <v>1077301</v>
      </c>
      <c r="C66" s="385">
        <v>247358</v>
      </c>
      <c r="D66" s="257">
        <v>970105894.47000003</v>
      </c>
      <c r="E66" s="257">
        <f t="shared" si="0"/>
        <v>3921.8698989723398</v>
      </c>
      <c r="F66" s="257">
        <f t="shared" si="1"/>
        <v>900.49660630594428</v>
      </c>
      <c r="G66" s="239">
        <v>90</v>
      </c>
      <c r="H66" s="239">
        <f t="shared" si="2"/>
        <v>229.6089950719437</v>
      </c>
      <c r="I66" s="258">
        <f t="shared" si="3"/>
        <v>0.22960899507194368</v>
      </c>
    </row>
    <row r="67" spans="1:9" x14ac:dyDescent="0.3">
      <c r="A67" s="383" t="s">
        <v>105</v>
      </c>
      <c r="B67" s="384">
        <v>15237</v>
      </c>
      <c r="C67" s="385">
        <v>3869</v>
      </c>
      <c r="D67" s="257">
        <v>25476875.350000001</v>
      </c>
      <c r="E67" s="257">
        <f t="shared" si="0"/>
        <v>6584.8734427500649</v>
      </c>
      <c r="F67" s="257">
        <f t="shared" si="1"/>
        <v>1672.0401227275711</v>
      </c>
      <c r="G67" s="239">
        <v>20</v>
      </c>
      <c r="H67" s="239">
        <f t="shared" si="2"/>
        <v>253.92137559887118</v>
      </c>
      <c r="I67" s="258">
        <f t="shared" si="3"/>
        <v>0.25392137559887118</v>
      </c>
    </row>
    <row r="68" spans="1:9" x14ac:dyDescent="0.3">
      <c r="A68" s="383" t="s">
        <v>106</v>
      </c>
      <c r="B68" s="384">
        <v>27865</v>
      </c>
      <c r="C68" s="385">
        <v>8262</v>
      </c>
      <c r="D68" s="257">
        <v>38583081.350000001</v>
      </c>
      <c r="E68" s="257">
        <f t="shared" si="0"/>
        <v>4669.9444868070686</v>
      </c>
      <c r="F68" s="257">
        <f t="shared" si="1"/>
        <v>1384.6431491117889</v>
      </c>
      <c r="G68" s="239">
        <v>41</v>
      </c>
      <c r="H68" s="239">
        <f t="shared" si="2"/>
        <v>296.50098690113049</v>
      </c>
      <c r="I68" s="258">
        <f t="shared" si="3"/>
        <v>0.29650098690113047</v>
      </c>
    </row>
    <row r="69" spans="1:9" x14ac:dyDescent="0.3">
      <c r="A69" s="383" t="s">
        <v>107</v>
      </c>
      <c r="B69" s="384">
        <v>97597</v>
      </c>
      <c r="C69" s="385">
        <v>17862</v>
      </c>
      <c r="D69" s="257">
        <v>87569705.230000004</v>
      </c>
      <c r="E69" s="257">
        <f t="shared" si="0"/>
        <v>4902.5699938416756</v>
      </c>
      <c r="F69" s="257">
        <f t="shared" si="1"/>
        <v>897.2581660296936</v>
      </c>
      <c r="G69" s="239">
        <v>92</v>
      </c>
      <c r="H69" s="239">
        <f t="shared" si="2"/>
        <v>183.01792063280632</v>
      </c>
      <c r="I69" s="258">
        <f t="shared" si="3"/>
        <v>0.18301792063280634</v>
      </c>
    </row>
    <row r="70" spans="1:9" x14ac:dyDescent="0.3">
      <c r="A70" s="383" t="s">
        <v>108</v>
      </c>
      <c r="B70" s="384">
        <v>94365</v>
      </c>
      <c r="C70" s="385">
        <v>28494</v>
      </c>
      <c r="D70" s="257">
        <v>138110677.56999999</v>
      </c>
      <c r="E70" s="257">
        <f t="shared" si="0"/>
        <v>4847.0091096371161</v>
      </c>
      <c r="F70" s="257">
        <f t="shared" si="1"/>
        <v>1463.5794793620516</v>
      </c>
      <c r="G70" s="239">
        <v>29</v>
      </c>
      <c r="H70" s="239">
        <f t="shared" si="2"/>
        <v>301.95517405817833</v>
      </c>
      <c r="I70" s="258">
        <f t="shared" si="3"/>
        <v>0.30195517405817834</v>
      </c>
    </row>
    <row r="71" spans="1:9" x14ac:dyDescent="0.3">
      <c r="A71" s="383" t="s">
        <v>109</v>
      </c>
      <c r="B71" s="384">
        <v>227261</v>
      </c>
      <c r="C71" s="385">
        <v>41562</v>
      </c>
      <c r="D71" s="257">
        <v>219152839.06</v>
      </c>
      <c r="E71" s="257">
        <f t="shared" ref="E71:E106" si="4">D71/C71</f>
        <v>5272.9136966459746</v>
      </c>
      <c r="F71" s="257">
        <f t="shared" ref="F71:F106" si="5">D71/B71</f>
        <v>964.32225089214603</v>
      </c>
      <c r="G71" s="239">
        <v>86</v>
      </c>
      <c r="H71" s="239">
        <f t="shared" ref="H71:H106" si="6">I71*1000</f>
        <v>182.88223672341491</v>
      </c>
      <c r="I71" s="258">
        <f t="shared" ref="I71:I106" si="7">C71/B71</f>
        <v>0.18288223672341491</v>
      </c>
    </row>
    <row r="72" spans="1:9" x14ac:dyDescent="0.3">
      <c r="A72" s="383" t="s">
        <v>110</v>
      </c>
      <c r="B72" s="384">
        <v>20709</v>
      </c>
      <c r="C72" s="385">
        <v>6795</v>
      </c>
      <c r="D72" s="257">
        <v>36077036.240000002</v>
      </c>
      <c r="E72" s="257">
        <f t="shared" si="4"/>
        <v>5309.3504400294341</v>
      </c>
      <c r="F72" s="257">
        <f t="shared" si="5"/>
        <v>1742.0945598532039</v>
      </c>
      <c r="G72" s="239">
        <v>17</v>
      </c>
      <c r="H72" s="239">
        <f t="shared" si="6"/>
        <v>328.11820947414168</v>
      </c>
      <c r="I72" s="258">
        <f t="shared" si="7"/>
        <v>0.32811820947414166</v>
      </c>
    </row>
    <row r="73" spans="1:9" x14ac:dyDescent="0.3">
      <c r="A73" s="383" t="s">
        <v>111</v>
      </c>
      <c r="B73" s="384">
        <v>195621</v>
      </c>
      <c r="C73" s="385">
        <v>42027</v>
      </c>
      <c r="D73" s="257">
        <v>175764505.77000001</v>
      </c>
      <c r="E73" s="257">
        <f t="shared" si="4"/>
        <v>4182.1806403026631</v>
      </c>
      <c r="F73" s="257">
        <f t="shared" si="5"/>
        <v>898.49507859585628</v>
      </c>
      <c r="G73" s="239">
        <v>91</v>
      </c>
      <c r="H73" s="239">
        <f t="shared" si="6"/>
        <v>214.83889766436118</v>
      </c>
      <c r="I73" s="258">
        <f t="shared" si="7"/>
        <v>0.21483889766436118</v>
      </c>
    </row>
    <row r="74" spans="1:9" x14ac:dyDescent="0.3">
      <c r="A74" s="383" t="s">
        <v>112</v>
      </c>
      <c r="B74" s="384">
        <v>142365</v>
      </c>
      <c r="C74" s="385">
        <v>18406</v>
      </c>
      <c r="D74" s="257">
        <v>98324808.170000002</v>
      </c>
      <c r="E74" s="257">
        <f t="shared" si="4"/>
        <v>5341.9976187112898</v>
      </c>
      <c r="F74" s="257">
        <f t="shared" si="5"/>
        <v>690.65295662557514</v>
      </c>
      <c r="G74" s="239">
        <v>96</v>
      </c>
      <c r="H74" s="239">
        <f t="shared" si="6"/>
        <v>129.28739507603694</v>
      </c>
      <c r="I74" s="258">
        <f t="shared" si="7"/>
        <v>0.12928739507603695</v>
      </c>
    </row>
    <row r="75" spans="1:9" x14ac:dyDescent="0.3">
      <c r="A75" s="383" t="s">
        <v>113</v>
      </c>
      <c r="B75" s="384">
        <v>13268</v>
      </c>
      <c r="C75" s="385">
        <v>2860</v>
      </c>
      <c r="D75" s="257">
        <v>15945896.5</v>
      </c>
      <c r="E75" s="257">
        <f t="shared" si="4"/>
        <v>5575.4882867132865</v>
      </c>
      <c r="F75" s="257">
        <f t="shared" si="5"/>
        <v>1201.8312104311124</v>
      </c>
      <c r="G75" s="239">
        <v>60</v>
      </c>
      <c r="H75" s="239">
        <f t="shared" si="6"/>
        <v>215.55622550497438</v>
      </c>
      <c r="I75" s="258">
        <f t="shared" si="7"/>
        <v>0.21555622550497439</v>
      </c>
    </row>
    <row r="76" spans="1:9" x14ac:dyDescent="0.3">
      <c r="A76" s="383" t="s">
        <v>114</v>
      </c>
      <c r="B76" s="384">
        <v>40598</v>
      </c>
      <c r="C76" s="385">
        <v>11318</v>
      </c>
      <c r="D76" s="257">
        <v>51481634.710000001</v>
      </c>
      <c r="E76" s="257">
        <f t="shared" si="4"/>
        <v>4548.6512378512107</v>
      </c>
      <c r="F76" s="257">
        <f t="shared" si="5"/>
        <v>1268.0830265037687</v>
      </c>
      <c r="G76" s="239">
        <v>51</v>
      </c>
      <c r="H76" s="239">
        <f t="shared" si="6"/>
        <v>278.78220602000096</v>
      </c>
      <c r="I76" s="258">
        <f t="shared" si="7"/>
        <v>0.27878220602000098</v>
      </c>
    </row>
    <row r="77" spans="1:9" x14ac:dyDescent="0.3">
      <c r="A77" s="383" t="s">
        <v>115</v>
      </c>
      <c r="B77" s="384">
        <v>60999</v>
      </c>
      <c r="C77" s="385">
        <v>14904</v>
      </c>
      <c r="D77" s="257">
        <v>67227430.780000001</v>
      </c>
      <c r="E77" s="257">
        <f t="shared" si="4"/>
        <v>4510.697180622652</v>
      </c>
      <c r="F77" s="257">
        <f t="shared" si="5"/>
        <v>1102.1070965097788</v>
      </c>
      <c r="G77" s="239">
        <v>73</v>
      </c>
      <c r="H77" s="239">
        <f t="shared" si="6"/>
        <v>244.3318742930212</v>
      </c>
      <c r="I77" s="258">
        <f t="shared" si="7"/>
        <v>0.2443318742930212</v>
      </c>
    </row>
    <row r="78" spans="1:9" x14ac:dyDescent="0.3">
      <c r="A78" s="383" t="s">
        <v>116</v>
      </c>
      <c r="B78" s="384">
        <v>13546</v>
      </c>
      <c r="C78" s="385">
        <v>3233</v>
      </c>
      <c r="D78" s="257">
        <v>16606420.49</v>
      </c>
      <c r="E78" s="257">
        <f t="shared" si="4"/>
        <v>5136.5358768945252</v>
      </c>
      <c r="F78" s="257">
        <f t="shared" si="5"/>
        <v>1225.927985383139</v>
      </c>
      <c r="G78" s="239">
        <v>58</v>
      </c>
      <c r="H78" s="239">
        <f t="shared" si="6"/>
        <v>238.66824154732024</v>
      </c>
      <c r="I78" s="258">
        <f t="shared" si="7"/>
        <v>0.23866824154732025</v>
      </c>
    </row>
    <row r="79" spans="1:9" x14ac:dyDescent="0.3">
      <c r="A79" s="383" t="s">
        <v>117</v>
      </c>
      <c r="B79" s="384">
        <v>39868</v>
      </c>
      <c r="C79" s="385">
        <v>10247</v>
      </c>
      <c r="D79" s="257">
        <v>56961228.530000001</v>
      </c>
      <c r="E79" s="257">
        <f t="shared" si="4"/>
        <v>5558.8199990241046</v>
      </c>
      <c r="F79" s="257">
        <f t="shared" si="5"/>
        <v>1428.745573643022</v>
      </c>
      <c r="G79" s="239">
        <v>34</v>
      </c>
      <c r="H79" s="239">
        <f t="shared" si="6"/>
        <v>257.02317648239188</v>
      </c>
      <c r="I79" s="258">
        <f t="shared" si="7"/>
        <v>0.25702317648239187</v>
      </c>
    </row>
    <row r="80" spans="1:9" x14ac:dyDescent="0.3">
      <c r="A80" s="383" t="s">
        <v>118</v>
      </c>
      <c r="B80" s="384">
        <v>176424</v>
      </c>
      <c r="C80" s="385">
        <v>44389</v>
      </c>
      <c r="D80" s="257">
        <v>220170269.46000001</v>
      </c>
      <c r="E80" s="257">
        <f t="shared" si="4"/>
        <v>4960.0186861609864</v>
      </c>
      <c r="F80" s="257">
        <f t="shared" si="5"/>
        <v>1247.9609886410012</v>
      </c>
      <c r="G80" s="239">
        <v>54</v>
      </c>
      <c r="H80" s="239">
        <f t="shared" si="6"/>
        <v>251.60409014646535</v>
      </c>
      <c r="I80" s="258">
        <f t="shared" si="7"/>
        <v>0.25160409014646534</v>
      </c>
    </row>
    <row r="81" spans="1:9" x14ac:dyDescent="0.3">
      <c r="A81" s="383" t="s">
        <v>119</v>
      </c>
      <c r="B81" s="384">
        <v>21154</v>
      </c>
      <c r="C81" s="385">
        <v>3842</v>
      </c>
      <c r="D81" s="257">
        <v>23719528.23</v>
      </c>
      <c r="E81" s="257">
        <f t="shared" si="4"/>
        <v>6173.7449843831337</v>
      </c>
      <c r="F81" s="257">
        <f t="shared" si="5"/>
        <v>1121.2786343008415</v>
      </c>
      <c r="G81" s="239">
        <v>69</v>
      </c>
      <c r="H81" s="239">
        <f t="shared" si="6"/>
        <v>181.62049730547415</v>
      </c>
      <c r="I81" s="258">
        <f t="shared" si="7"/>
        <v>0.18162049730547414</v>
      </c>
    </row>
    <row r="82" spans="1:9" x14ac:dyDescent="0.3">
      <c r="A82" s="383" t="s">
        <v>120</v>
      </c>
      <c r="B82" s="384">
        <v>144672</v>
      </c>
      <c r="C82" s="385">
        <v>37322</v>
      </c>
      <c r="D82" s="257">
        <v>178301842.53999999</v>
      </c>
      <c r="E82" s="257">
        <f t="shared" si="4"/>
        <v>4777.3924907561222</v>
      </c>
      <c r="F82" s="257">
        <f t="shared" si="5"/>
        <v>1232.455779556514</v>
      </c>
      <c r="G82" s="239">
        <v>56</v>
      </c>
      <c r="H82" s="239">
        <f t="shared" si="6"/>
        <v>257.97666445476665</v>
      </c>
      <c r="I82" s="258">
        <f t="shared" si="7"/>
        <v>0.25797666445476664</v>
      </c>
    </row>
    <row r="83" spans="1:9" x14ac:dyDescent="0.3">
      <c r="A83" s="383" t="s">
        <v>121</v>
      </c>
      <c r="B83" s="384">
        <v>44892</v>
      </c>
      <c r="C83" s="385">
        <v>17972</v>
      </c>
      <c r="D83" s="257">
        <v>85567954.170000002</v>
      </c>
      <c r="E83" s="257">
        <f t="shared" si="4"/>
        <v>4761.1815140218114</v>
      </c>
      <c r="F83" s="257">
        <f t="shared" si="5"/>
        <v>1906.0846959369153</v>
      </c>
      <c r="G83" s="239">
        <v>10</v>
      </c>
      <c r="H83" s="239">
        <f t="shared" si="6"/>
        <v>400.33859039472514</v>
      </c>
      <c r="I83" s="258">
        <f t="shared" si="7"/>
        <v>0.40033859039472514</v>
      </c>
    </row>
    <row r="84" spans="1:9" x14ac:dyDescent="0.3">
      <c r="A84" s="383" t="s">
        <v>122</v>
      </c>
      <c r="B84" s="384">
        <v>132020</v>
      </c>
      <c r="C84" s="385">
        <v>56246</v>
      </c>
      <c r="D84" s="257">
        <v>289160481.16000003</v>
      </c>
      <c r="E84" s="257">
        <f t="shared" si="4"/>
        <v>5140.9963581410238</v>
      </c>
      <c r="F84" s="257">
        <f t="shared" si="5"/>
        <v>2190.2778454779582</v>
      </c>
      <c r="G84" s="239">
        <v>1</v>
      </c>
      <c r="H84" s="239">
        <f t="shared" si="6"/>
        <v>426.0415088622936</v>
      </c>
      <c r="I84" s="258">
        <f t="shared" si="7"/>
        <v>0.42604150886229358</v>
      </c>
    </row>
    <row r="85" spans="1:9" x14ac:dyDescent="0.3">
      <c r="A85" s="383" t="s">
        <v>123</v>
      </c>
      <c r="B85" s="384">
        <v>91790</v>
      </c>
      <c r="C85" s="385">
        <v>25062</v>
      </c>
      <c r="D85" s="257">
        <v>136513196</v>
      </c>
      <c r="E85" s="257">
        <f t="shared" si="4"/>
        <v>5447.0192323038864</v>
      </c>
      <c r="F85" s="257">
        <f t="shared" si="5"/>
        <v>1487.2338598975923</v>
      </c>
      <c r="G85" s="239">
        <v>27</v>
      </c>
      <c r="H85" s="239">
        <f t="shared" si="6"/>
        <v>273.0362784617061</v>
      </c>
      <c r="I85" s="258">
        <f t="shared" si="7"/>
        <v>0.27303627846170608</v>
      </c>
    </row>
    <row r="86" spans="1:9" x14ac:dyDescent="0.3">
      <c r="A86" s="383" t="s">
        <v>124</v>
      </c>
      <c r="B86" s="384">
        <v>141917</v>
      </c>
      <c r="C86" s="385">
        <v>38631</v>
      </c>
      <c r="D86" s="257">
        <v>187233826.86000001</v>
      </c>
      <c r="E86" s="257">
        <f t="shared" si="4"/>
        <v>4846.7248287644643</v>
      </c>
      <c r="F86" s="257">
        <f t="shared" si="5"/>
        <v>1319.319227858537</v>
      </c>
      <c r="G86" s="239">
        <v>45</v>
      </c>
      <c r="H86" s="239">
        <f t="shared" si="6"/>
        <v>272.20840350345628</v>
      </c>
      <c r="I86" s="258">
        <f t="shared" si="7"/>
        <v>0.27220840350345626</v>
      </c>
    </row>
    <row r="87" spans="1:9" x14ac:dyDescent="0.3">
      <c r="A87" s="383" t="s">
        <v>125</v>
      </c>
      <c r="B87" s="384">
        <v>67796</v>
      </c>
      <c r="C87" s="385">
        <v>18895</v>
      </c>
      <c r="D87" s="257">
        <v>97261602.159999996</v>
      </c>
      <c r="E87" s="257">
        <f t="shared" si="4"/>
        <v>5147.4782831436887</v>
      </c>
      <c r="F87" s="257">
        <f t="shared" si="5"/>
        <v>1434.621543453891</v>
      </c>
      <c r="G87" s="239">
        <v>32</v>
      </c>
      <c r="H87" s="239">
        <f t="shared" si="6"/>
        <v>278.70375833382496</v>
      </c>
      <c r="I87" s="258">
        <f t="shared" si="7"/>
        <v>0.27870375833382499</v>
      </c>
    </row>
    <row r="88" spans="1:9" x14ac:dyDescent="0.3">
      <c r="A88" s="383" t="s">
        <v>126</v>
      </c>
      <c r="B88" s="384">
        <v>63143</v>
      </c>
      <c r="C88" s="385">
        <v>21015</v>
      </c>
      <c r="D88" s="257">
        <v>96864419.959999993</v>
      </c>
      <c r="E88" s="257">
        <f t="shared" si="4"/>
        <v>4609.2990701879608</v>
      </c>
      <c r="F88" s="257">
        <f t="shared" si="5"/>
        <v>1534.048429121201</v>
      </c>
      <c r="G88" s="239">
        <v>24</v>
      </c>
      <c r="H88" s="239">
        <f t="shared" si="6"/>
        <v>332.81598910409707</v>
      </c>
      <c r="I88" s="258">
        <f t="shared" si="7"/>
        <v>0.33281598910409704</v>
      </c>
    </row>
    <row r="89" spans="1:9" x14ac:dyDescent="0.3">
      <c r="A89" s="383" t="s">
        <v>127</v>
      </c>
      <c r="B89" s="384">
        <v>35686</v>
      </c>
      <c r="C89" s="385">
        <v>14296</v>
      </c>
      <c r="D89" s="257">
        <v>70788699.180000007</v>
      </c>
      <c r="E89" s="257">
        <f t="shared" si="4"/>
        <v>4951.6437590934529</v>
      </c>
      <c r="F89" s="257">
        <f t="shared" si="5"/>
        <v>1983.6546315081546</v>
      </c>
      <c r="G89" s="239">
        <v>7</v>
      </c>
      <c r="H89" s="239">
        <f t="shared" si="6"/>
        <v>400.60527938126995</v>
      </c>
      <c r="I89" s="258">
        <f t="shared" si="7"/>
        <v>0.40060527938126994</v>
      </c>
    </row>
    <row r="90" spans="1:9" x14ac:dyDescent="0.3">
      <c r="A90" s="383" t="s">
        <v>128</v>
      </c>
      <c r="B90" s="384">
        <v>62443</v>
      </c>
      <c r="C90" s="385">
        <v>14431</v>
      </c>
      <c r="D90" s="257">
        <v>79373393.030000001</v>
      </c>
      <c r="E90" s="257">
        <f t="shared" si="4"/>
        <v>5500.2004732866744</v>
      </c>
      <c r="F90" s="257">
        <f t="shared" si="5"/>
        <v>1271.1335622888075</v>
      </c>
      <c r="G90" s="239">
        <v>50</v>
      </c>
      <c r="H90" s="239">
        <f t="shared" si="6"/>
        <v>231.10676937366878</v>
      </c>
      <c r="I90" s="258">
        <f t="shared" si="7"/>
        <v>0.23110676937366878</v>
      </c>
    </row>
    <row r="91" spans="1:9" x14ac:dyDescent="0.3">
      <c r="A91" s="383" t="s">
        <v>129</v>
      </c>
      <c r="B91" s="384">
        <v>46728</v>
      </c>
      <c r="C91" s="385">
        <v>9773</v>
      </c>
      <c r="D91" s="257">
        <v>56975198.700000003</v>
      </c>
      <c r="E91" s="257">
        <f t="shared" si="4"/>
        <v>5829.8576383914869</v>
      </c>
      <c r="F91" s="257">
        <f t="shared" si="5"/>
        <v>1219.294613507961</v>
      </c>
      <c r="G91" s="239">
        <v>59</v>
      </c>
      <c r="H91" s="239">
        <f t="shared" si="6"/>
        <v>209.14655024824515</v>
      </c>
      <c r="I91" s="258">
        <f t="shared" si="7"/>
        <v>0.20914655024824516</v>
      </c>
    </row>
    <row r="92" spans="1:9" x14ac:dyDescent="0.3">
      <c r="A92" s="383" t="s">
        <v>130</v>
      </c>
      <c r="B92" s="384">
        <v>72843</v>
      </c>
      <c r="C92" s="385">
        <v>19713</v>
      </c>
      <c r="D92" s="257">
        <v>106476107.7</v>
      </c>
      <c r="E92" s="257">
        <f t="shared" si="4"/>
        <v>5401.3142444072437</v>
      </c>
      <c r="F92" s="257">
        <f t="shared" si="5"/>
        <v>1461.7205181005725</v>
      </c>
      <c r="G92" s="239">
        <v>30</v>
      </c>
      <c r="H92" s="239">
        <f t="shared" si="6"/>
        <v>270.62312095877434</v>
      </c>
      <c r="I92" s="258">
        <f t="shared" si="7"/>
        <v>0.27062312095877433</v>
      </c>
    </row>
    <row r="93" spans="1:9" x14ac:dyDescent="0.3">
      <c r="A93" s="383" t="s">
        <v>131</v>
      </c>
      <c r="B93" s="384">
        <v>14999</v>
      </c>
      <c r="C93" s="385">
        <v>5187</v>
      </c>
      <c r="D93" s="257">
        <v>32459077.559999999</v>
      </c>
      <c r="E93" s="257">
        <f t="shared" si="4"/>
        <v>6257.7747368421051</v>
      </c>
      <c r="F93" s="257">
        <f t="shared" si="5"/>
        <v>2164.0827761850787</v>
      </c>
      <c r="G93" s="239">
        <v>2</v>
      </c>
      <c r="H93" s="239">
        <f t="shared" si="6"/>
        <v>345.82305487032465</v>
      </c>
      <c r="I93" s="258">
        <f t="shared" si="7"/>
        <v>0.34582305487032466</v>
      </c>
    </row>
    <row r="94" spans="1:9" x14ac:dyDescent="0.3">
      <c r="A94" s="383" t="s">
        <v>132</v>
      </c>
      <c r="B94" s="384">
        <v>34464</v>
      </c>
      <c r="C94" s="385">
        <v>6971</v>
      </c>
      <c r="D94" s="257">
        <v>37802399.219999999</v>
      </c>
      <c r="E94" s="257">
        <f t="shared" si="4"/>
        <v>5422.8086673361067</v>
      </c>
      <c r="F94" s="257">
        <f t="shared" si="5"/>
        <v>1096.8662726323118</v>
      </c>
      <c r="G94" s="239">
        <v>74</v>
      </c>
      <c r="H94" s="239">
        <f t="shared" si="6"/>
        <v>202.26903435468896</v>
      </c>
      <c r="I94" s="258">
        <f t="shared" si="7"/>
        <v>0.20226903435468896</v>
      </c>
    </row>
    <row r="95" spans="1:9" x14ac:dyDescent="0.3">
      <c r="A95" s="383" t="s">
        <v>133</v>
      </c>
      <c r="B95" s="384">
        <v>4138</v>
      </c>
      <c r="C95" s="385">
        <v>1069</v>
      </c>
      <c r="D95" s="257">
        <v>5112117.3899999997</v>
      </c>
      <c r="E95" s="257">
        <f t="shared" si="4"/>
        <v>4782.1491019644527</v>
      </c>
      <c r="F95" s="257">
        <f t="shared" si="5"/>
        <v>1235.4077791203479</v>
      </c>
      <c r="G95" s="239">
        <v>55</v>
      </c>
      <c r="H95" s="239">
        <f t="shared" si="6"/>
        <v>258.33736104398258</v>
      </c>
      <c r="I95" s="258">
        <f t="shared" si="7"/>
        <v>0.25833736104398258</v>
      </c>
    </row>
    <row r="96" spans="1:9" x14ac:dyDescent="0.3">
      <c r="A96" s="383" t="s">
        <v>134</v>
      </c>
      <c r="B96" s="384">
        <v>228171</v>
      </c>
      <c r="C96" s="385">
        <v>37294</v>
      </c>
      <c r="D96" s="257">
        <v>167407547.18000001</v>
      </c>
      <c r="E96" s="257">
        <f t="shared" si="4"/>
        <v>4488.8600627446776</v>
      </c>
      <c r="F96" s="257">
        <f t="shared" si="5"/>
        <v>733.6933579639832</v>
      </c>
      <c r="G96" s="239">
        <v>94</v>
      </c>
      <c r="H96" s="239">
        <f t="shared" si="6"/>
        <v>163.44758974628678</v>
      </c>
      <c r="I96" s="258">
        <f t="shared" si="7"/>
        <v>0.16344758974628679</v>
      </c>
    </row>
    <row r="97" spans="1:9" x14ac:dyDescent="0.3">
      <c r="A97" s="383" t="s">
        <v>135</v>
      </c>
      <c r="B97" s="384">
        <v>44862</v>
      </c>
      <c r="C97" s="386">
        <v>19369</v>
      </c>
      <c r="D97" s="257">
        <v>97007421.019999996</v>
      </c>
      <c r="E97" s="257">
        <f t="shared" si="4"/>
        <v>5008.3856172233982</v>
      </c>
      <c r="F97" s="257">
        <f t="shared" si="5"/>
        <v>2162.3516789264854</v>
      </c>
      <c r="G97" s="239">
        <v>3</v>
      </c>
      <c r="H97" s="239">
        <f t="shared" si="6"/>
        <v>431.74624403726983</v>
      </c>
      <c r="I97" s="258">
        <f t="shared" si="7"/>
        <v>0.43174624403726986</v>
      </c>
    </row>
    <row r="98" spans="1:9" x14ac:dyDescent="0.3">
      <c r="A98" s="383" t="s">
        <v>136</v>
      </c>
      <c r="B98" s="384">
        <v>1048771</v>
      </c>
      <c r="C98" s="386">
        <v>157874</v>
      </c>
      <c r="D98" s="257">
        <v>662227887.78999996</v>
      </c>
      <c r="E98" s="257">
        <f t="shared" si="4"/>
        <v>4194.6608547955966</v>
      </c>
      <c r="F98" s="257">
        <f t="shared" si="5"/>
        <v>631.43230294315913</v>
      </c>
      <c r="G98" s="239">
        <v>97</v>
      </c>
      <c r="H98" s="239">
        <f t="shared" si="6"/>
        <v>150.53238504878567</v>
      </c>
      <c r="I98" s="258">
        <f t="shared" si="7"/>
        <v>0.15053238504878566</v>
      </c>
    </row>
    <row r="99" spans="1:9" x14ac:dyDescent="0.3">
      <c r="A99" s="383" t="s">
        <v>137</v>
      </c>
      <c r="B99" s="384">
        <v>20133</v>
      </c>
      <c r="C99" s="386">
        <v>5784</v>
      </c>
      <c r="D99" s="257">
        <v>34841007.240000002</v>
      </c>
      <c r="E99" s="257">
        <f t="shared" si="4"/>
        <v>6023.6872821576771</v>
      </c>
      <c r="F99" s="257">
        <f t="shared" si="5"/>
        <v>1730.5422559976159</v>
      </c>
      <c r="G99" s="239">
        <v>18</v>
      </c>
      <c r="H99" s="239">
        <f t="shared" si="6"/>
        <v>287.28952466100435</v>
      </c>
      <c r="I99" s="258">
        <f t="shared" si="7"/>
        <v>0.28728952466100433</v>
      </c>
    </row>
    <row r="100" spans="1:9" x14ac:dyDescent="0.3">
      <c r="A100" s="383" t="s">
        <v>138</v>
      </c>
      <c r="B100" s="384">
        <v>12349</v>
      </c>
      <c r="C100" s="386">
        <v>4249</v>
      </c>
      <c r="D100" s="257">
        <v>24629876.52</v>
      </c>
      <c r="E100" s="257">
        <f t="shared" si="4"/>
        <v>5796.628976229701</v>
      </c>
      <c r="F100" s="257">
        <f t="shared" si="5"/>
        <v>1994.483482063325</v>
      </c>
      <c r="G100" s="239">
        <v>6</v>
      </c>
      <c r="H100" s="239">
        <f t="shared" si="6"/>
        <v>344.07644343671552</v>
      </c>
      <c r="I100" s="258">
        <f t="shared" si="7"/>
        <v>0.34407644343671551</v>
      </c>
    </row>
    <row r="101" spans="1:9" x14ac:dyDescent="0.3">
      <c r="A101" s="383" t="s">
        <v>139</v>
      </c>
      <c r="B101" s="384">
        <v>56170</v>
      </c>
      <c r="C101" s="386">
        <v>5423</v>
      </c>
      <c r="D101" s="257">
        <v>31662074.91</v>
      </c>
      <c r="E101" s="257">
        <f t="shared" si="4"/>
        <v>5838.4796072284717</v>
      </c>
      <c r="F101" s="257">
        <f t="shared" si="5"/>
        <v>563.68301424247818</v>
      </c>
      <c r="G101" s="239">
        <v>100</v>
      </c>
      <c r="H101" s="239">
        <f t="shared" si="6"/>
        <v>96.546199038632722</v>
      </c>
      <c r="I101" s="258">
        <f t="shared" si="7"/>
        <v>9.6546199038632721E-2</v>
      </c>
    </row>
    <row r="102" spans="1:9" x14ac:dyDescent="0.3">
      <c r="A102" s="383" t="s">
        <v>140</v>
      </c>
      <c r="B102" s="384">
        <v>124945</v>
      </c>
      <c r="C102" s="386">
        <v>37961</v>
      </c>
      <c r="D102" s="257">
        <v>166992507.74000001</v>
      </c>
      <c r="E102" s="257">
        <f t="shared" si="4"/>
        <v>4399.0544964568899</v>
      </c>
      <c r="F102" s="257">
        <f t="shared" si="5"/>
        <v>1336.5281342990918</v>
      </c>
      <c r="G102" s="239">
        <v>44</v>
      </c>
      <c r="H102" s="239">
        <f t="shared" si="6"/>
        <v>303.82168153987755</v>
      </c>
      <c r="I102" s="258">
        <f t="shared" si="7"/>
        <v>0.30382168153987754</v>
      </c>
    </row>
    <row r="103" spans="1:9" x14ac:dyDescent="0.3">
      <c r="A103" s="383" t="s">
        <v>141</v>
      </c>
      <c r="B103" s="384">
        <v>70536</v>
      </c>
      <c r="C103" s="386">
        <v>17600</v>
      </c>
      <c r="D103" s="257">
        <v>102588959.51000001</v>
      </c>
      <c r="E103" s="257">
        <f t="shared" si="4"/>
        <v>5828.9181539772726</v>
      </c>
      <c r="F103" s="257">
        <f t="shared" si="5"/>
        <v>1454.4198637575139</v>
      </c>
      <c r="G103" s="239">
        <v>31</v>
      </c>
      <c r="H103" s="239">
        <f t="shared" si="6"/>
        <v>249.51797663604401</v>
      </c>
      <c r="I103" s="258">
        <f t="shared" si="7"/>
        <v>0.249517976636044</v>
      </c>
    </row>
    <row r="104" spans="1:9" x14ac:dyDescent="0.3">
      <c r="A104" s="383" t="s">
        <v>142</v>
      </c>
      <c r="B104" s="384">
        <v>82035</v>
      </c>
      <c r="C104" s="386">
        <v>25711</v>
      </c>
      <c r="D104" s="257">
        <v>131563022.11</v>
      </c>
      <c r="E104" s="257">
        <f t="shared" si="4"/>
        <v>5116.9935867916456</v>
      </c>
      <c r="F104" s="257">
        <f t="shared" si="5"/>
        <v>1603.7425746327788</v>
      </c>
      <c r="G104" s="239">
        <v>23</v>
      </c>
      <c r="H104" s="239">
        <f t="shared" si="6"/>
        <v>313.41500579021147</v>
      </c>
      <c r="I104" s="258">
        <f t="shared" si="7"/>
        <v>0.31341500579021148</v>
      </c>
    </row>
    <row r="105" spans="1:9" x14ac:dyDescent="0.3">
      <c r="A105" s="383" t="s">
        <v>143</v>
      </c>
      <c r="B105" s="384">
        <v>37687</v>
      </c>
      <c r="C105" s="386">
        <v>8646</v>
      </c>
      <c r="D105" s="257">
        <v>47647519.409999996</v>
      </c>
      <c r="E105" s="257">
        <f t="shared" si="4"/>
        <v>5510.9321547536429</v>
      </c>
      <c r="F105" s="257">
        <f t="shared" si="5"/>
        <v>1264.2958954015974</v>
      </c>
      <c r="G105" s="239">
        <v>52</v>
      </c>
      <c r="H105" s="239">
        <f t="shared" si="6"/>
        <v>229.41597898479583</v>
      </c>
      <c r="I105" s="258">
        <f t="shared" si="7"/>
        <v>0.22941597898479582</v>
      </c>
    </row>
    <row r="106" spans="1:9" x14ac:dyDescent="0.3">
      <c r="A106" s="383" t="s">
        <v>144</v>
      </c>
      <c r="B106" s="239">
        <v>18199</v>
      </c>
      <c r="C106" s="387">
        <v>4683</v>
      </c>
      <c r="D106" s="257">
        <v>26842749.48</v>
      </c>
      <c r="E106" s="257">
        <f t="shared" si="4"/>
        <v>5731.955900064062</v>
      </c>
      <c r="F106" s="257">
        <f t="shared" si="5"/>
        <v>1474.9573866695973</v>
      </c>
      <c r="G106" s="239">
        <v>28</v>
      </c>
      <c r="H106" s="239">
        <f t="shared" si="6"/>
        <v>257.32183086982803</v>
      </c>
      <c r="I106" s="258">
        <f t="shared" si="7"/>
        <v>0.25732183086982802</v>
      </c>
    </row>
    <row r="107" spans="1:9" x14ac:dyDescent="0.3">
      <c r="A107" s="383" t="s">
        <v>147</v>
      </c>
      <c r="B107" s="239"/>
      <c r="C107" s="388"/>
      <c r="D107" s="257">
        <v>9532706.8200000003</v>
      </c>
      <c r="E107" s="244"/>
      <c r="F107" s="244"/>
      <c r="G107" s="243"/>
      <c r="H107" s="239"/>
      <c r="I107" s="258"/>
    </row>
    <row r="108" spans="1:9" s="82" customFormat="1" x14ac:dyDescent="0.3">
      <c r="A108" s="374"/>
      <c r="B108" s="375"/>
      <c r="C108" s="70"/>
      <c r="D108" s="376"/>
      <c r="E108" s="64"/>
      <c r="F108" s="64"/>
      <c r="H108" s="65"/>
      <c r="I108" s="66"/>
    </row>
    <row r="109" spans="1:9" s="268" customFormat="1" ht="15" x14ac:dyDescent="0.3">
      <c r="A109" s="71" t="s">
        <v>283</v>
      </c>
      <c r="B109" s="96">
        <f>SUM(B7:B107)</f>
        <v>10272692</v>
      </c>
      <c r="C109" s="240">
        <f>SUM(C7:C108)</f>
        <v>2422622</v>
      </c>
      <c r="D109" s="246">
        <f>SUM(D7:D107)</f>
        <v>11575908991.6</v>
      </c>
      <c r="E109" s="241"/>
      <c r="F109" s="241"/>
      <c r="G109" s="73"/>
      <c r="H109" s="96"/>
      <c r="I109" s="389"/>
    </row>
    <row r="110" spans="1:9" s="238" customFormat="1" ht="15" x14ac:dyDescent="0.3">
      <c r="A110" s="242"/>
      <c r="B110" s="243"/>
      <c r="C110" s="239"/>
      <c r="D110" s="244"/>
      <c r="E110" s="244"/>
      <c r="F110" s="244"/>
      <c r="G110" s="243"/>
      <c r="H110" s="239"/>
      <c r="I110" s="390"/>
    </row>
    <row r="111" spans="1:9" s="73" customFormat="1" ht="15" x14ac:dyDescent="0.3">
      <c r="A111" s="247" t="s">
        <v>329</v>
      </c>
      <c r="B111" s="245"/>
      <c r="C111" s="240"/>
      <c r="D111" s="366">
        <v>56588573</v>
      </c>
      <c r="E111" s="391"/>
      <c r="F111" s="392"/>
      <c r="H111" s="96"/>
      <c r="I111" s="275"/>
    </row>
    <row r="112" spans="1:9" s="243" customFormat="1" ht="15" x14ac:dyDescent="0.3">
      <c r="A112" s="393"/>
      <c r="B112" s="394"/>
      <c r="C112" s="395"/>
      <c r="D112" s="396"/>
      <c r="E112" s="397"/>
      <c r="F112" s="392"/>
      <c r="H112" s="239"/>
      <c r="I112" s="398"/>
    </row>
    <row r="113" spans="1:57" s="404" customFormat="1" ht="15" x14ac:dyDescent="0.3">
      <c r="A113" s="452" t="s">
        <v>389</v>
      </c>
      <c r="B113" s="399" t="s">
        <v>374</v>
      </c>
      <c r="C113" s="400"/>
      <c r="D113" s="400"/>
      <c r="E113" s="401"/>
      <c r="F113" s="400"/>
      <c r="G113" s="402"/>
      <c r="H113" s="402"/>
      <c r="I113" s="402"/>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3"/>
      <c r="AF113" s="403"/>
      <c r="AG113" s="403"/>
      <c r="AH113" s="403"/>
      <c r="AI113" s="403"/>
      <c r="AJ113" s="403"/>
      <c r="AK113" s="403"/>
      <c r="AL113" s="403"/>
      <c r="AM113" s="403"/>
      <c r="AN113" s="403"/>
      <c r="AO113" s="403"/>
      <c r="AP113" s="403"/>
      <c r="AQ113" s="403"/>
      <c r="AR113" s="403"/>
      <c r="AS113" s="403"/>
      <c r="AT113" s="403"/>
      <c r="AU113" s="403"/>
      <c r="AV113" s="403"/>
      <c r="AW113" s="403"/>
      <c r="AX113" s="403"/>
      <c r="AY113" s="403"/>
      <c r="AZ113" s="403"/>
      <c r="BA113" s="403"/>
      <c r="BB113" s="403"/>
      <c r="BC113" s="403"/>
      <c r="BD113" s="403"/>
      <c r="BE113" s="403"/>
    </row>
    <row r="114" spans="1:57" s="408" customFormat="1" ht="15" x14ac:dyDescent="0.3">
      <c r="A114" s="405"/>
      <c r="B114" s="394" t="s">
        <v>340</v>
      </c>
      <c r="C114" s="101"/>
      <c r="D114" s="101"/>
      <c r="E114" s="295"/>
      <c r="F114" s="101"/>
      <c r="G114" s="406"/>
      <c r="H114" s="407"/>
      <c r="I114" s="101"/>
    </row>
    <row r="115" spans="1:57" s="408" customFormat="1" ht="15" x14ac:dyDescent="0.3">
      <c r="A115" s="405"/>
      <c r="B115" s="394" t="s">
        <v>145</v>
      </c>
      <c r="C115" s="101"/>
      <c r="D115" s="101"/>
      <c r="E115" s="295"/>
      <c r="F115" s="101"/>
      <c r="G115" s="406"/>
      <c r="H115" s="407"/>
      <c r="I115" s="101"/>
    </row>
    <row r="116" spans="1:57" s="238" customFormat="1" ht="15" x14ac:dyDescent="0.3">
      <c r="A116" s="393"/>
      <c r="B116" s="394" t="s">
        <v>146</v>
      </c>
      <c r="C116" s="234"/>
      <c r="D116" s="409"/>
      <c r="E116" s="409"/>
      <c r="F116" s="409"/>
      <c r="H116" s="234"/>
      <c r="I116" s="410"/>
    </row>
    <row r="117" spans="1:57" s="238" customFormat="1" ht="15" x14ac:dyDescent="0.3">
      <c r="A117" s="411"/>
      <c r="C117" s="234"/>
      <c r="D117" s="409"/>
      <c r="E117" s="409"/>
      <c r="F117" s="409"/>
      <c r="H117" s="234"/>
      <c r="I117" s="410"/>
    </row>
    <row r="118" spans="1:57" s="238" customFormat="1" ht="15" x14ac:dyDescent="0.3">
      <c r="A118" s="451" t="s">
        <v>341</v>
      </c>
      <c r="B118" s="238" t="s">
        <v>342</v>
      </c>
      <c r="C118" s="234"/>
      <c r="D118" s="409"/>
      <c r="E118" s="409"/>
      <c r="F118" s="409"/>
      <c r="H118" s="234"/>
      <c r="I118" s="410"/>
    </row>
    <row r="119" spans="1:57" s="238" customFormat="1" ht="15" x14ac:dyDescent="0.3">
      <c r="A119" s="412"/>
      <c r="C119" s="234"/>
      <c r="D119" s="409"/>
      <c r="E119" s="409"/>
      <c r="F119" s="409"/>
      <c r="H119" s="234"/>
      <c r="I119" s="410"/>
    </row>
    <row r="120" spans="1:57" s="238" customFormat="1" ht="15" x14ac:dyDescent="0.3">
      <c r="A120" s="411"/>
      <c r="C120" s="234"/>
      <c r="D120" s="409"/>
      <c r="E120" s="409"/>
      <c r="F120" s="409"/>
      <c r="H120" s="234"/>
      <c r="I120" s="410"/>
    </row>
    <row r="121" spans="1:57" s="238" customFormat="1" ht="15" x14ac:dyDescent="0.3">
      <c r="A121" s="411"/>
      <c r="C121" s="234"/>
      <c r="D121" s="409"/>
      <c r="E121" s="409"/>
      <c r="F121" s="409"/>
      <c r="H121" s="234"/>
      <c r="I121" s="410"/>
    </row>
    <row r="122" spans="1:57" s="238" customFormat="1" ht="15" x14ac:dyDescent="0.3">
      <c r="A122" s="411"/>
      <c r="C122" s="234"/>
      <c r="D122" s="409"/>
      <c r="E122" s="409"/>
      <c r="F122" s="409"/>
      <c r="H122" s="234"/>
      <c r="I122" s="410"/>
    </row>
    <row r="123" spans="1:57" s="238" customFormat="1" ht="15" x14ac:dyDescent="0.3">
      <c r="A123" s="411"/>
      <c r="C123" s="234"/>
      <c r="D123" s="409"/>
      <c r="E123" s="409"/>
      <c r="F123" s="409"/>
      <c r="H123" s="234"/>
      <c r="I123" s="410"/>
    </row>
  </sheetData>
  <mergeCells count="4">
    <mergeCell ref="A1:I1"/>
    <mergeCell ref="A2:I2"/>
    <mergeCell ref="A3:I3"/>
    <mergeCell ref="A4:I4"/>
  </mergeCells>
  <pageMargins left="0.7" right="0.7" top="0.75" bottom="0.75" header="0.3" footer="0.3"/>
  <pageSetup orientation="portrait" horizontalDpi="4294967293" r:id="rId1"/>
  <ignoredErrors>
    <ignoredError sqref="C10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9"/>
  <sheetViews>
    <sheetView showGridLines="0" workbookViewId="0">
      <pane ySplit="7" topLeftCell="A20" activePane="bottomLeft" state="frozen"/>
      <selection pane="bottomLeft" activeCell="E38" sqref="E38"/>
    </sheetView>
  </sheetViews>
  <sheetFormatPr defaultRowHeight="15" x14ac:dyDescent="0.25"/>
  <cols>
    <col min="1" max="1" width="45.42578125" bestFit="1" customWidth="1"/>
    <col min="2" max="2" width="19" bestFit="1" customWidth="1"/>
    <col min="3" max="3" width="16.28515625" bestFit="1" customWidth="1"/>
    <col min="4" max="4" width="12.42578125" bestFit="1" customWidth="1"/>
    <col min="5" max="5" width="15" bestFit="1" customWidth="1"/>
    <col min="6" max="6" width="14.140625" style="5" customWidth="1"/>
    <col min="7" max="7" width="13.85546875" customWidth="1"/>
    <col min="8" max="8" width="14.5703125" customWidth="1"/>
    <col min="10" max="10" width="16.28515625" bestFit="1" customWidth="1"/>
  </cols>
  <sheetData>
    <row r="1" spans="1:12" s="91" customFormat="1" ht="18" x14ac:dyDescent="0.35">
      <c r="A1" s="467" t="s">
        <v>156</v>
      </c>
      <c r="B1" s="467"/>
      <c r="C1" s="467"/>
      <c r="D1" s="467"/>
      <c r="E1" s="467"/>
      <c r="F1" s="467"/>
      <c r="G1" s="467"/>
      <c r="H1" s="467"/>
      <c r="I1" s="90"/>
    </row>
    <row r="2" spans="1:12" s="90" customFormat="1" ht="18" x14ac:dyDescent="0.35">
      <c r="A2" s="468" t="s">
        <v>2</v>
      </c>
      <c r="B2" s="468"/>
      <c r="C2" s="468"/>
      <c r="D2" s="468"/>
      <c r="E2" s="468"/>
      <c r="F2" s="468"/>
      <c r="G2" s="468"/>
      <c r="H2" s="468"/>
      <c r="I2" s="92"/>
      <c r="J2" s="92"/>
      <c r="K2" s="92"/>
      <c r="L2" s="92"/>
    </row>
    <row r="3" spans="1:12" s="93" customFormat="1" ht="18" x14ac:dyDescent="0.35">
      <c r="A3" s="469" t="s">
        <v>363</v>
      </c>
      <c r="B3" s="469"/>
      <c r="C3" s="469"/>
      <c r="D3" s="469"/>
      <c r="E3" s="469"/>
      <c r="F3" s="469"/>
      <c r="G3" s="469"/>
      <c r="H3" s="469"/>
      <c r="I3" s="92"/>
      <c r="J3" s="92"/>
      <c r="K3" s="92"/>
      <c r="L3" s="92"/>
    </row>
    <row r="4" spans="1:12" s="93" customFormat="1" ht="18" x14ac:dyDescent="0.35">
      <c r="A4" s="248" t="s">
        <v>399</v>
      </c>
      <c r="B4" s="248"/>
      <c r="C4" s="248"/>
      <c r="D4" s="248"/>
      <c r="E4" s="248"/>
      <c r="F4" s="248"/>
      <c r="G4" s="248"/>
      <c r="H4" s="248"/>
      <c r="I4" s="92"/>
      <c r="J4" s="92"/>
      <c r="K4" s="92"/>
      <c r="L4" s="92"/>
    </row>
    <row r="5" spans="1:12" s="252" customFormat="1" ht="18" x14ac:dyDescent="0.35">
      <c r="A5" s="249"/>
      <c r="B5" s="249"/>
      <c r="C5" s="249"/>
      <c r="D5" s="249"/>
      <c r="E5" s="249"/>
      <c r="F5" s="250"/>
      <c r="G5" s="249"/>
      <c r="H5" s="249"/>
      <c r="I5" s="251"/>
      <c r="J5" s="251"/>
      <c r="K5" s="251"/>
      <c r="L5" s="251"/>
    </row>
    <row r="6" spans="1:12" s="252" customFormat="1" ht="18" x14ac:dyDescent="0.35">
      <c r="A6" s="249"/>
      <c r="B6" s="249"/>
      <c r="C6" s="249"/>
      <c r="D6" s="249"/>
      <c r="E6" s="249"/>
      <c r="F6" s="250"/>
      <c r="G6" s="249"/>
      <c r="H6" s="249"/>
      <c r="I6" s="251"/>
      <c r="J6" s="251"/>
      <c r="K6" s="251"/>
      <c r="L6" s="251"/>
    </row>
    <row r="7" spans="1:12" s="255" customFormat="1" ht="45" x14ac:dyDescent="0.3">
      <c r="A7" s="88" t="s">
        <v>3</v>
      </c>
      <c r="B7" s="438" t="s">
        <v>366</v>
      </c>
      <c r="C7" s="22" t="s">
        <v>153</v>
      </c>
      <c r="D7" s="87" t="s">
        <v>154</v>
      </c>
      <c r="E7" s="232" t="s">
        <v>354</v>
      </c>
      <c r="F7" s="439" t="s">
        <v>347</v>
      </c>
      <c r="G7" s="232" t="s">
        <v>348</v>
      </c>
      <c r="H7" s="439" t="s">
        <v>155</v>
      </c>
      <c r="I7" s="253"/>
      <c r="J7" s="254"/>
      <c r="K7" s="254"/>
      <c r="L7" s="254"/>
    </row>
    <row r="8" spans="1:12" s="238" customFormat="1" x14ac:dyDescent="0.3">
      <c r="A8" s="256" t="s">
        <v>171</v>
      </c>
      <c r="B8" s="257">
        <v>1014162317</v>
      </c>
      <c r="C8" s="258">
        <f t="shared" ref="C8:C29" si="0">B8/$B$37</f>
        <v>8.3573990702639447E-2</v>
      </c>
      <c r="D8" s="259">
        <f>B8/$B$29</f>
        <v>0.11654526389795279</v>
      </c>
      <c r="E8" s="239">
        <v>241303</v>
      </c>
      <c r="F8" s="257">
        <f>B8/E8</f>
        <v>4202.8583026319602</v>
      </c>
      <c r="G8" s="260">
        <v>242370</v>
      </c>
      <c r="H8" s="257">
        <v>3972.1789032058423</v>
      </c>
      <c r="I8" s="243"/>
    </row>
    <row r="9" spans="1:12" s="238" customFormat="1" x14ac:dyDescent="0.3">
      <c r="A9" s="256" t="s">
        <v>172</v>
      </c>
      <c r="B9" s="257">
        <v>932738006</v>
      </c>
      <c r="C9" s="258">
        <f t="shared" si="0"/>
        <v>7.6864064198356979E-2</v>
      </c>
      <c r="D9" s="259">
        <f t="shared" ref="D9:D29" si="1">B9/$B$29</f>
        <v>0.10718816429551904</v>
      </c>
      <c r="E9" s="239">
        <v>1048045</v>
      </c>
      <c r="F9" s="257">
        <f t="shared" ref="F9:F29" si="2">B9/E9</f>
        <v>889.97896655200873</v>
      </c>
      <c r="G9" s="260">
        <v>1080855</v>
      </c>
      <c r="H9" s="257">
        <v>844.83388945788295</v>
      </c>
      <c r="I9" s="243"/>
    </row>
    <row r="10" spans="1:12" s="238" customFormat="1" x14ac:dyDescent="0.3">
      <c r="A10" s="256" t="s">
        <v>173</v>
      </c>
      <c r="B10" s="257">
        <v>0</v>
      </c>
      <c r="C10" s="258">
        <f t="shared" si="0"/>
        <v>0</v>
      </c>
      <c r="D10" s="259">
        <f t="shared" si="1"/>
        <v>0</v>
      </c>
      <c r="E10" s="239">
        <v>5</v>
      </c>
      <c r="F10" s="257">
        <f t="shared" si="2"/>
        <v>0</v>
      </c>
      <c r="G10" s="260">
        <v>20</v>
      </c>
      <c r="H10" s="257">
        <v>879.8</v>
      </c>
      <c r="I10" s="243"/>
    </row>
    <row r="11" spans="1:12" s="238" customFormat="1" x14ac:dyDescent="0.3">
      <c r="A11" s="256" t="s">
        <v>168</v>
      </c>
      <c r="B11" s="257">
        <v>100599</v>
      </c>
      <c r="C11" s="258">
        <f t="shared" si="0"/>
        <v>8.2900535247306244E-6</v>
      </c>
      <c r="D11" s="259">
        <f t="shared" si="1"/>
        <v>1.1560611951696242E-5</v>
      </c>
      <c r="E11" s="239">
        <v>7</v>
      </c>
      <c r="F11" s="257">
        <f t="shared" si="2"/>
        <v>14371.285714285714</v>
      </c>
      <c r="G11" s="260">
        <v>8</v>
      </c>
      <c r="H11" s="257">
        <v>14700.126250000001</v>
      </c>
      <c r="I11" s="243"/>
    </row>
    <row r="12" spans="1:12" s="238" customFormat="1" x14ac:dyDescent="0.3">
      <c r="A12" s="256" t="s">
        <v>174</v>
      </c>
      <c r="B12" s="257">
        <v>1223714499</v>
      </c>
      <c r="C12" s="258">
        <f t="shared" si="0"/>
        <v>0.10084254014154136</v>
      </c>
      <c r="D12" s="259">
        <f t="shared" si="1"/>
        <v>0.14062653170114392</v>
      </c>
      <c r="E12" s="239">
        <v>2223342</v>
      </c>
      <c r="F12" s="257">
        <f t="shared" si="2"/>
        <v>550.39418092223332</v>
      </c>
      <c r="G12" s="260">
        <v>2231652</v>
      </c>
      <c r="H12" s="257">
        <v>531.68577915373908</v>
      </c>
      <c r="I12" s="243"/>
    </row>
    <row r="13" spans="1:12" s="238" customFormat="1" x14ac:dyDescent="0.3">
      <c r="A13" s="256" t="s">
        <v>175</v>
      </c>
      <c r="B13" s="257">
        <v>140344405</v>
      </c>
      <c r="C13" s="258">
        <f t="shared" si="0"/>
        <v>1.1565349847875946E-2</v>
      </c>
      <c r="D13" s="259">
        <f t="shared" si="1"/>
        <v>1.6128064948922931E-2</v>
      </c>
      <c r="E13" s="239">
        <v>466786</v>
      </c>
      <c r="F13" s="257">
        <f t="shared" si="2"/>
        <v>300.66112736885856</v>
      </c>
      <c r="G13" s="260">
        <v>461938</v>
      </c>
      <c r="H13" s="257">
        <v>274.16438227640941</v>
      </c>
      <c r="I13" s="243"/>
    </row>
    <row r="14" spans="1:12" s="238" customFormat="1" x14ac:dyDescent="0.3">
      <c r="A14" s="256" t="s">
        <v>176</v>
      </c>
      <c r="B14" s="257">
        <v>1273855949</v>
      </c>
      <c r="C14" s="258">
        <f t="shared" si="0"/>
        <v>0.10497454249054686</v>
      </c>
      <c r="D14" s="259">
        <f t="shared" si="1"/>
        <v>0.14638867492468868</v>
      </c>
      <c r="E14" s="239">
        <v>44623</v>
      </c>
      <c r="F14" s="257">
        <f t="shared" si="2"/>
        <v>28547.070994778478</v>
      </c>
      <c r="G14" s="260">
        <v>45931</v>
      </c>
      <c r="H14" s="257">
        <v>26525.480420630949</v>
      </c>
      <c r="I14" s="243"/>
    </row>
    <row r="15" spans="1:12" s="238" customFormat="1" x14ac:dyDescent="0.3">
      <c r="A15" s="256" t="s">
        <v>169</v>
      </c>
      <c r="B15" s="257">
        <v>1630211</v>
      </c>
      <c r="C15" s="258">
        <f t="shared" si="0"/>
        <v>1.3434066388934914E-4</v>
      </c>
      <c r="D15" s="259">
        <f t="shared" si="1"/>
        <v>1.8734019990642733E-4</v>
      </c>
      <c r="E15" s="239">
        <v>24</v>
      </c>
      <c r="F15" s="257">
        <f t="shared" si="2"/>
        <v>67925.458333333328</v>
      </c>
      <c r="G15" s="260">
        <v>19</v>
      </c>
      <c r="H15" s="257">
        <v>80682.964210526319</v>
      </c>
      <c r="I15" s="243"/>
    </row>
    <row r="16" spans="1:12" s="238" customFormat="1" x14ac:dyDescent="0.3">
      <c r="A16" s="256" t="s">
        <v>177</v>
      </c>
      <c r="B16" s="257">
        <v>363495772</v>
      </c>
      <c r="C16" s="258">
        <f t="shared" si="0"/>
        <v>2.995456620735076E-2</v>
      </c>
      <c r="D16" s="259">
        <f t="shared" si="1"/>
        <v>4.1772120658995139E-2</v>
      </c>
      <c r="E16" s="239">
        <v>853233</v>
      </c>
      <c r="F16" s="257">
        <f t="shared" si="2"/>
        <v>426.021698645036</v>
      </c>
      <c r="G16" s="260">
        <v>849996</v>
      </c>
      <c r="H16" s="257">
        <v>428.90395243036437</v>
      </c>
      <c r="I16" s="243"/>
    </row>
    <row r="17" spans="1:9" s="238" customFormat="1" x14ac:dyDescent="0.3">
      <c r="A17" s="256" t="s">
        <v>178</v>
      </c>
      <c r="B17" s="257">
        <v>1882592654</v>
      </c>
      <c r="C17" s="258">
        <f t="shared" si="0"/>
        <v>0.15513865810718477</v>
      </c>
      <c r="D17" s="259">
        <f t="shared" si="1"/>
        <v>0.21634333478471901</v>
      </c>
      <c r="E17" s="406">
        <v>1540075</v>
      </c>
      <c r="F17" s="271">
        <f t="shared" si="2"/>
        <v>1222.4032297128388</v>
      </c>
      <c r="G17" s="440">
        <v>1264605</v>
      </c>
      <c r="H17" s="271">
        <v>1458.2540317964899</v>
      </c>
      <c r="I17" s="243"/>
    </row>
    <row r="18" spans="1:9" s="238" customFormat="1" x14ac:dyDescent="0.3">
      <c r="A18" s="256" t="s">
        <v>179</v>
      </c>
      <c r="B18" s="257">
        <v>471402488</v>
      </c>
      <c r="C18" s="258">
        <f t="shared" si="0"/>
        <v>3.8846826083869475E-2</v>
      </c>
      <c r="D18" s="259">
        <f t="shared" si="1"/>
        <v>5.417251897963344E-2</v>
      </c>
      <c r="E18" s="406">
        <v>260827</v>
      </c>
      <c r="F18" s="271">
        <f t="shared" si="2"/>
        <v>1807.3377679458031</v>
      </c>
      <c r="G18" s="440">
        <v>273051</v>
      </c>
      <c r="H18" s="271">
        <v>1381.9364657518192</v>
      </c>
      <c r="I18" s="243"/>
    </row>
    <row r="19" spans="1:9" s="238" customFormat="1" x14ac:dyDescent="0.3">
      <c r="A19" s="256" t="s">
        <v>180</v>
      </c>
      <c r="B19" s="257">
        <v>253667215</v>
      </c>
      <c r="C19" s="258">
        <f t="shared" si="0"/>
        <v>2.0903933337501873E-2</v>
      </c>
      <c r="D19" s="259">
        <f t="shared" si="1"/>
        <v>2.9150868671482821E-2</v>
      </c>
      <c r="E19" s="239">
        <v>12484</v>
      </c>
      <c r="F19" s="271">
        <f t="shared" si="2"/>
        <v>20319.386014098047</v>
      </c>
      <c r="G19" s="440">
        <v>12845</v>
      </c>
      <c r="H19" s="271">
        <v>19593.164421954069</v>
      </c>
      <c r="I19" s="101"/>
    </row>
    <row r="20" spans="1:9" s="238" customFormat="1" x14ac:dyDescent="0.3">
      <c r="A20" s="256" t="s">
        <v>181</v>
      </c>
      <c r="B20" s="257">
        <v>166293</v>
      </c>
      <c r="C20" s="258">
        <f t="shared" si="0"/>
        <v>1.3703693583316232E-5</v>
      </c>
      <c r="D20" s="259">
        <f t="shared" si="1"/>
        <v>1.9110019416529221E-5</v>
      </c>
      <c r="E20" s="239">
        <v>132</v>
      </c>
      <c r="F20" s="271">
        <f t="shared" si="2"/>
        <v>1259.7954545454545</v>
      </c>
      <c r="G20" s="440">
        <v>172</v>
      </c>
      <c r="H20" s="271">
        <v>647.46174418604653</v>
      </c>
      <c r="I20" s="101"/>
    </row>
    <row r="21" spans="1:9" s="238" customFormat="1" x14ac:dyDescent="0.3">
      <c r="A21" s="256" t="s">
        <v>182</v>
      </c>
      <c r="B21" s="257">
        <v>54747822</v>
      </c>
      <c r="C21" s="258">
        <f t="shared" si="0"/>
        <v>4.5115992678100656E-3</v>
      </c>
      <c r="D21" s="259">
        <f t="shared" si="1"/>
        <v>6.291497185285524E-3</v>
      </c>
      <c r="E21" s="239">
        <v>2594</v>
      </c>
      <c r="F21" s="271">
        <f t="shared" si="2"/>
        <v>21105.559753276793</v>
      </c>
      <c r="G21" s="440">
        <v>2594</v>
      </c>
      <c r="H21" s="271">
        <v>37807.955643793372</v>
      </c>
      <c r="I21" s="101"/>
    </row>
    <row r="22" spans="1:9" s="238" customFormat="1" x14ac:dyDescent="0.3">
      <c r="A22" s="256" t="s">
        <v>183</v>
      </c>
      <c r="B22" s="257">
        <v>453282960</v>
      </c>
      <c r="C22" s="258">
        <f t="shared" si="0"/>
        <v>3.7353651629224251E-2</v>
      </c>
      <c r="D22" s="259">
        <f t="shared" si="1"/>
        <v>5.209026337116919E-2</v>
      </c>
      <c r="E22" s="239">
        <v>45538</v>
      </c>
      <c r="F22" s="271">
        <f t="shared" si="2"/>
        <v>9953.9496684088008</v>
      </c>
      <c r="G22" s="440">
        <v>45691</v>
      </c>
      <c r="H22" s="271">
        <v>9176.7654325797193</v>
      </c>
      <c r="I22" s="101"/>
    </row>
    <row r="23" spans="1:9" s="238" customFormat="1" x14ac:dyDescent="0.3">
      <c r="A23" s="256" t="s">
        <v>184</v>
      </c>
      <c r="B23" s="257">
        <v>75961981</v>
      </c>
      <c r="C23" s="258">
        <f t="shared" si="0"/>
        <v>6.2597927249234157E-3</v>
      </c>
      <c r="D23" s="259">
        <f t="shared" si="1"/>
        <v>8.7293808628626807E-3</v>
      </c>
      <c r="E23" s="239">
        <v>7424</v>
      </c>
      <c r="F23" s="271">
        <f t="shared" si="2"/>
        <v>10231.947871767241</v>
      </c>
      <c r="G23" s="440">
        <v>7337</v>
      </c>
      <c r="H23" s="271">
        <v>9841.6953059833704</v>
      </c>
      <c r="I23" s="101"/>
    </row>
    <row r="24" spans="1:9" s="238" customFormat="1" x14ac:dyDescent="0.3">
      <c r="A24" s="256" t="s">
        <v>185</v>
      </c>
      <c r="B24" s="257">
        <v>89091037</v>
      </c>
      <c r="C24" s="258">
        <f t="shared" si="0"/>
        <v>7.3417177636333998E-3</v>
      </c>
      <c r="D24" s="259">
        <f t="shared" si="1"/>
        <v>1.0238142597155161E-2</v>
      </c>
      <c r="E24" s="239">
        <v>705100</v>
      </c>
      <c r="F24" s="257">
        <f t="shared" si="2"/>
        <v>126.35234293008084</v>
      </c>
      <c r="G24" s="260">
        <v>706024</v>
      </c>
      <c r="H24" s="257">
        <v>132.49430949939381</v>
      </c>
      <c r="I24" s="243"/>
    </row>
    <row r="25" spans="1:9" s="238" customFormat="1" x14ac:dyDescent="0.3">
      <c r="A25" s="256" t="s">
        <v>186</v>
      </c>
      <c r="B25" s="257">
        <v>116513396</v>
      </c>
      <c r="C25" s="258">
        <f t="shared" si="0"/>
        <v>9.6015098478924744E-3</v>
      </c>
      <c r="D25" s="259">
        <f t="shared" si="1"/>
        <v>1.3389458725537203E-2</v>
      </c>
      <c r="E25" s="239">
        <v>476754</v>
      </c>
      <c r="F25" s="257">
        <f t="shared" si="2"/>
        <v>244.38892175000106</v>
      </c>
      <c r="G25" s="260">
        <v>467304</v>
      </c>
      <c r="H25" s="257">
        <v>238.96787750586341</v>
      </c>
      <c r="I25" s="243"/>
    </row>
    <row r="26" spans="1:9" s="238" customFormat="1" x14ac:dyDescent="0.3">
      <c r="A26" s="85" t="s">
        <v>170</v>
      </c>
      <c r="B26" s="257">
        <v>63447</v>
      </c>
      <c r="C26" s="258">
        <f t="shared" si="0"/>
        <v>5.2284717142673775E-6</v>
      </c>
      <c r="D26" s="259">
        <f t="shared" si="1"/>
        <v>7.2911872533451769E-6</v>
      </c>
      <c r="E26" s="239">
        <v>3</v>
      </c>
      <c r="F26" s="257">
        <f t="shared" si="2"/>
        <v>21149</v>
      </c>
      <c r="G26" s="260">
        <v>162</v>
      </c>
      <c r="H26" s="257">
        <v>37.290679012345677</v>
      </c>
      <c r="I26" s="243"/>
    </row>
    <row r="27" spans="1:9" s="238" customFormat="1" x14ac:dyDescent="0.3">
      <c r="A27" s="256" t="s">
        <v>187</v>
      </c>
      <c r="B27" s="257">
        <v>141726281</v>
      </c>
      <c r="C27" s="258">
        <f t="shared" si="0"/>
        <v>1.167922598983104E-2</v>
      </c>
      <c r="D27" s="259">
        <f t="shared" si="1"/>
        <v>1.6286867046372826E-2</v>
      </c>
      <c r="E27" s="239">
        <v>85768</v>
      </c>
      <c r="F27" s="257">
        <f t="shared" si="2"/>
        <v>1652.4377506762428</v>
      </c>
      <c r="G27" s="260">
        <v>76284</v>
      </c>
      <c r="H27" s="257">
        <v>1688.1651095904776</v>
      </c>
      <c r="I27" s="243"/>
    </row>
    <row r="28" spans="1:9" s="238" customFormat="1" x14ac:dyDescent="0.3">
      <c r="A28" s="256" t="s">
        <v>188</v>
      </c>
      <c r="B28" s="261">
        <v>212617657</v>
      </c>
      <c r="C28" s="262">
        <f t="shared" si="0"/>
        <v>1.7521165785274375E-2</v>
      </c>
      <c r="D28" s="263">
        <f t="shared" si="1"/>
        <v>2.4433545330031631E-2</v>
      </c>
      <c r="E28" s="236">
        <v>641552</v>
      </c>
      <c r="F28" s="261">
        <f t="shared" si="2"/>
        <v>331.41141637778389</v>
      </c>
      <c r="G28" s="264">
        <v>617534</v>
      </c>
      <c r="H28" s="261">
        <v>259.47638395618702</v>
      </c>
      <c r="I28" s="243"/>
    </row>
    <row r="29" spans="1:9" s="268" customFormat="1" x14ac:dyDescent="0.3">
      <c r="A29" s="6" t="s">
        <v>0</v>
      </c>
      <c r="B29" s="265">
        <f>SUM(B8:B28)</f>
        <v>8701874989</v>
      </c>
      <c r="C29" s="266">
        <f t="shared" si="0"/>
        <v>0.71709469700816819</v>
      </c>
      <c r="D29" s="267">
        <f t="shared" si="1"/>
        <v>1</v>
      </c>
      <c r="E29" s="96">
        <v>2420225</v>
      </c>
      <c r="F29" s="246">
        <f t="shared" si="2"/>
        <v>3595.4818204918965</v>
      </c>
      <c r="G29" s="96">
        <v>2358000</v>
      </c>
      <c r="H29" s="450">
        <v>3532.9497352290073</v>
      </c>
      <c r="I29" s="73"/>
    </row>
    <row r="30" spans="1:9" ht="15.75" x14ac:dyDescent="0.3">
      <c r="A30" s="6"/>
      <c r="B30" s="2"/>
      <c r="C30" s="94"/>
      <c r="D30" s="160"/>
      <c r="E30" s="4"/>
    </row>
    <row r="31" spans="1:9" s="243" customFormat="1" x14ac:dyDescent="0.3">
      <c r="A31" s="84" t="s">
        <v>148</v>
      </c>
      <c r="C31" s="258"/>
      <c r="F31" s="244"/>
      <c r="H31" s="270"/>
    </row>
    <row r="32" spans="1:9" s="243" customFormat="1" x14ac:dyDescent="0.3">
      <c r="A32" s="85" t="s">
        <v>149</v>
      </c>
      <c r="B32" s="271">
        <v>41708205</v>
      </c>
      <c r="C32" s="258">
        <f>B32/$B$37</f>
        <v>3.4370446214220564E-3</v>
      </c>
      <c r="E32" s="239">
        <v>9417</v>
      </c>
      <c r="F32" s="244"/>
      <c r="G32" s="239">
        <v>10312</v>
      </c>
    </row>
    <row r="33" spans="1:17" s="243" customFormat="1" x14ac:dyDescent="0.3">
      <c r="A33" s="85" t="s">
        <v>150</v>
      </c>
      <c r="B33" s="271">
        <v>514818787.39999998</v>
      </c>
      <c r="C33" s="258">
        <f>B33/$B$37</f>
        <v>4.2424629500123413E-2</v>
      </c>
      <c r="E33" s="239">
        <v>369277</v>
      </c>
      <c r="F33" s="244"/>
      <c r="G33" s="239">
        <v>372494</v>
      </c>
    </row>
    <row r="34" spans="1:17" s="243" customFormat="1" ht="15.75" x14ac:dyDescent="0.3">
      <c r="A34" s="256" t="s">
        <v>167</v>
      </c>
      <c r="B34" s="261">
        <v>2876501575</v>
      </c>
      <c r="C34" s="262">
        <f>B34/$B$37</f>
        <v>0.2370436288702864</v>
      </c>
      <c r="D34" s="272"/>
      <c r="E34" s="236">
        <v>2153763</v>
      </c>
      <c r="F34" s="273"/>
      <c r="G34" s="236">
        <v>2115737</v>
      </c>
      <c r="H34" s="272"/>
      <c r="I34" s="423"/>
    </row>
    <row r="35" spans="1:17" s="243" customFormat="1" x14ac:dyDescent="0.3">
      <c r="A35" s="6" t="s">
        <v>151</v>
      </c>
      <c r="B35" s="265">
        <f>SUM(B32:B34)</f>
        <v>3433028567.4000001</v>
      </c>
      <c r="C35" s="266">
        <f>B35/$B$37</f>
        <v>0.28290530299183186</v>
      </c>
      <c r="E35" s="422">
        <v>2242563</v>
      </c>
      <c r="F35" s="244"/>
      <c r="G35" s="239">
        <v>2219084</v>
      </c>
    </row>
    <row r="36" spans="1:17" x14ac:dyDescent="0.25">
      <c r="C36" s="94"/>
      <c r="D36" s="4"/>
    </row>
    <row r="37" spans="1:17" s="73" customFormat="1" x14ac:dyDescent="0.3">
      <c r="A37" s="86" t="s">
        <v>152</v>
      </c>
      <c r="B37" s="265">
        <f>B29+B35</f>
        <v>12134903556.4</v>
      </c>
      <c r="C37" s="266">
        <f>B37/$B$37</f>
        <v>1</v>
      </c>
      <c r="F37" s="241"/>
    </row>
    <row r="38" spans="1:17" s="73" customFormat="1" x14ac:dyDescent="0.3">
      <c r="A38" s="413" t="s">
        <v>22</v>
      </c>
      <c r="B38" s="274"/>
      <c r="C38" s="275"/>
      <c r="D38" s="275"/>
      <c r="E38" s="422">
        <v>2493667</v>
      </c>
      <c r="G38" s="419">
        <v>2446805</v>
      </c>
    </row>
    <row r="39" spans="1:17" s="73" customFormat="1" x14ac:dyDescent="0.3">
      <c r="A39" s="84" t="s">
        <v>157</v>
      </c>
      <c r="B39" s="366">
        <f>+B37-B33-B32</f>
        <v>11578376564</v>
      </c>
      <c r="C39" s="275"/>
      <c r="D39" s="275"/>
      <c r="F39" s="246">
        <f>B37/E38</f>
        <v>4866.2887051077787</v>
      </c>
      <c r="G39" s="265"/>
      <c r="H39" s="288">
        <v>4772.6630502190801</v>
      </c>
    </row>
    <row r="40" spans="1:17" ht="15.75" x14ac:dyDescent="0.3">
      <c r="A40" s="84"/>
      <c r="B40" s="367"/>
      <c r="C40" s="276"/>
    </row>
    <row r="41" spans="1:17" s="73" customFormat="1" x14ac:dyDescent="0.3">
      <c r="A41" s="95" t="s">
        <v>158</v>
      </c>
      <c r="B41" s="366">
        <v>56588573</v>
      </c>
      <c r="C41" s="275"/>
      <c r="D41" s="275"/>
      <c r="E41" s="96">
        <v>126619</v>
      </c>
      <c r="G41" s="96"/>
    </row>
    <row r="42" spans="1:17" x14ac:dyDescent="0.25">
      <c r="B42" s="3"/>
    </row>
    <row r="43" spans="1:17" s="220" customFormat="1" ht="33" customHeight="1" x14ac:dyDescent="0.25">
      <c r="A43" s="470" t="s">
        <v>375</v>
      </c>
      <c r="B43" s="470"/>
      <c r="C43" s="470"/>
      <c r="D43" s="470"/>
      <c r="E43" s="470"/>
      <c r="F43" s="470"/>
      <c r="G43" s="470"/>
      <c r="H43" s="470"/>
      <c r="I43" s="448"/>
      <c r="J43" s="448"/>
      <c r="K43" s="448"/>
      <c r="L43" s="448"/>
      <c r="M43" s="448"/>
      <c r="N43" s="219"/>
      <c r="O43" s="219"/>
      <c r="P43" s="219"/>
      <c r="Q43" s="219"/>
    </row>
    <row r="44" spans="1:17" s="220" customFormat="1" ht="13.5" customHeight="1" x14ac:dyDescent="0.25">
      <c r="A44" s="222" t="s">
        <v>330</v>
      </c>
      <c r="B44" s="223"/>
      <c r="C44" s="223"/>
      <c r="D44" s="223"/>
      <c r="E44" s="223"/>
      <c r="F44" s="223"/>
      <c r="G44" s="223"/>
      <c r="H44" s="223"/>
      <c r="I44" s="223"/>
      <c r="J44" s="223"/>
      <c r="K44" s="223"/>
      <c r="L44" s="223"/>
      <c r="M44" s="223"/>
      <c r="N44" s="219"/>
      <c r="O44" s="219"/>
      <c r="P44" s="219"/>
      <c r="Q44" s="219"/>
    </row>
    <row r="45" spans="1:17" s="220" customFormat="1" ht="13.5" customHeight="1" x14ac:dyDescent="0.25">
      <c r="A45" s="222" t="s">
        <v>331</v>
      </c>
      <c r="B45" s="223"/>
      <c r="C45" s="223"/>
      <c r="D45" s="223"/>
      <c r="E45" s="223"/>
      <c r="F45" s="223"/>
      <c r="G45" s="223"/>
      <c r="H45" s="223"/>
      <c r="I45" s="223"/>
      <c r="J45" s="223"/>
      <c r="K45" s="223"/>
      <c r="L45" s="223"/>
      <c r="M45" s="223"/>
      <c r="N45" s="219"/>
      <c r="O45" s="219"/>
      <c r="P45" s="219"/>
      <c r="Q45" s="219"/>
    </row>
    <row r="46" spans="1:17" s="220" customFormat="1" ht="13.5" customHeight="1" x14ac:dyDescent="0.25">
      <c r="A46" s="448" t="s">
        <v>392</v>
      </c>
      <c r="B46" s="448"/>
      <c r="C46" s="448"/>
      <c r="D46" s="448"/>
      <c r="E46" s="448"/>
      <c r="F46" s="448"/>
      <c r="G46" s="448"/>
      <c r="H46" s="448"/>
      <c r="I46" s="448"/>
      <c r="J46" s="448"/>
      <c r="K46" s="448"/>
      <c r="L46" s="448"/>
      <c r="M46" s="448"/>
      <c r="N46" s="219"/>
      <c r="O46" s="219"/>
      <c r="P46" s="219"/>
      <c r="Q46" s="219"/>
    </row>
    <row r="47" spans="1:17" x14ac:dyDescent="0.25">
      <c r="A47" s="444" t="s">
        <v>376</v>
      </c>
      <c r="C47" s="221"/>
    </row>
    <row r="49" spans="2:2" x14ac:dyDescent="0.25">
      <c r="B49" s="276"/>
    </row>
  </sheetData>
  <mergeCells count="4">
    <mergeCell ref="A1:H1"/>
    <mergeCell ref="A2:H2"/>
    <mergeCell ref="A3:H3"/>
    <mergeCell ref="A43:H43"/>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EADB2-31DE-40E4-90F7-7502D77C2701}">
  <dimension ref="A1:P34"/>
  <sheetViews>
    <sheetView showGridLines="0" workbookViewId="0">
      <selection sqref="A1:G1"/>
    </sheetView>
  </sheetViews>
  <sheetFormatPr defaultRowHeight="16.5" x14ac:dyDescent="0.3"/>
  <cols>
    <col min="1" max="1" width="53.140625" style="60" customWidth="1"/>
    <col min="2" max="2" width="22.5703125" style="55" customWidth="1"/>
    <col min="3" max="3" width="11.5703125" style="55" bestFit="1" customWidth="1"/>
    <col min="4" max="4" width="13.5703125" style="55" customWidth="1"/>
    <col min="5" max="5" width="17" style="55" customWidth="1"/>
    <col min="6" max="6" width="20.85546875" style="55" customWidth="1"/>
    <col min="7" max="7" width="12.42578125" style="55" customWidth="1"/>
    <col min="8" max="255" width="9.140625" style="59"/>
    <col min="256" max="256" width="53.140625" style="59" customWidth="1"/>
    <col min="257" max="257" width="22.5703125" style="59" customWidth="1"/>
    <col min="258" max="258" width="13.5703125" style="59" customWidth="1"/>
    <col min="259" max="259" width="14.85546875" style="59" customWidth="1"/>
    <col min="260" max="260" width="15" style="59" customWidth="1"/>
    <col min="261" max="262" width="16.42578125" style="59" customWidth="1"/>
    <col min="263" max="263" width="11.7109375" style="59" customWidth="1"/>
    <col min="264" max="511" width="9.140625" style="59"/>
    <col min="512" max="512" width="53.140625" style="59" customWidth="1"/>
    <col min="513" max="513" width="22.5703125" style="59" customWidth="1"/>
    <col min="514" max="514" width="13.5703125" style="59" customWidth="1"/>
    <col min="515" max="515" width="14.85546875" style="59" customWidth="1"/>
    <col min="516" max="516" width="15" style="59" customWidth="1"/>
    <col min="517" max="518" width="16.42578125" style="59" customWidth="1"/>
    <col min="519" max="519" width="11.7109375" style="59" customWidth="1"/>
    <col min="520" max="767" width="9.140625" style="59"/>
    <col min="768" max="768" width="53.140625" style="59" customWidth="1"/>
    <col min="769" max="769" width="22.5703125" style="59" customWidth="1"/>
    <col min="770" max="770" width="13.5703125" style="59" customWidth="1"/>
    <col min="771" max="771" width="14.85546875" style="59" customWidth="1"/>
    <col min="772" max="772" width="15" style="59" customWidth="1"/>
    <col min="773" max="774" width="16.42578125" style="59" customWidth="1"/>
    <col min="775" max="775" width="11.7109375" style="59" customWidth="1"/>
    <col min="776" max="1023" width="9.140625" style="59"/>
    <col min="1024" max="1024" width="53.140625" style="59" customWidth="1"/>
    <col min="1025" max="1025" width="22.5703125" style="59" customWidth="1"/>
    <col min="1026" max="1026" width="13.5703125" style="59" customWidth="1"/>
    <col min="1027" max="1027" width="14.85546875" style="59" customWidth="1"/>
    <col min="1028" max="1028" width="15" style="59" customWidth="1"/>
    <col min="1029" max="1030" width="16.42578125" style="59" customWidth="1"/>
    <col min="1031" max="1031" width="11.7109375" style="59" customWidth="1"/>
    <col min="1032" max="1279" width="9.140625" style="59"/>
    <col min="1280" max="1280" width="53.140625" style="59" customWidth="1"/>
    <col min="1281" max="1281" width="22.5703125" style="59" customWidth="1"/>
    <col min="1282" max="1282" width="13.5703125" style="59" customWidth="1"/>
    <col min="1283" max="1283" width="14.85546875" style="59" customWidth="1"/>
    <col min="1284" max="1284" width="15" style="59" customWidth="1"/>
    <col min="1285" max="1286" width="16.42578125" style="59" customWidth="1"/>
    <col min="1287" max="1287" width="11.7109375" style="59" customWidth="1"/>
    <col min="1288" max="1535" width="9.140625" style="59"/>
    <col min="1536" max="1536" width="53.140625" style="59" customWidth="1"/>
    <col min="1537" max="1537" width="22.5703125" style="59" customWidth="1"/>
    <col min="1538" max="1538" width="13.5703125" style="59" customWidth="1"/>
    <col min="1539" max="1539" width="14.85546875" style="59" customWidth="1"/>
    <col min="1540" max="1540" width="15" style="59" customWidth="1"/>
    <col min="1541" max="1542" width="16.42578125" style="59" customWidth="1"/>
    <col min="1543" max="1543" width="11.7109375" style="59" customWidth="1"/>
    <col min="1544" max="1791" width="9.140625" style="59"/>
    <col min="1792" max="1792" width="53.140625" style="59" customWidth="1"/>
    <col min="1793" max="1793" width="22.5703125" style="59" customWidth="1"/>
    <col min="1794" max="1794" width="13.5703125" style="59" customWidth="1"/>
    <col min="1795" max="1795" width="14.85546875" style="59" customWidth="1"/>
    <col min="1796" max="1796" width="15" style="59" customWidth="1"/>
    <col min="1797" max="1798" width="16.42578125" style="59" customWidth="1"/>
    <col min="1799" max="1799" width="11.7109375" style="59" customWidth="1"/>
    <col min="1800" max="2047" width="9.140625" style="59"/>
    <col min="2048" max="2048" width="53.140625" style="59" customWidth="1"/>
    <col min="2049" max="2049" width="22.5703125" style="59" customWidth="1"/>
    <col min="2050" max="2050" width="13.5703125" style="59" customWidth="1"/>
    <col min="2051" max="2051" width="14.85546875" style="59" customWidth="1"/>
    <col min="2052" max="2052" width="15" style="59" customWidth="1"/>
    <col min="2053" max="2054" width="16.42578125" style="59" customWidth="1"/>
    <col min="2055" max="2055" width="11.7109375" style="59" customWidth="1"/>
    <col min="2056" max="2303" width="9.140625" style="59"/>
    <col min="2304" max="2304" width="53.140625" style="59" customWidth="1"/>
    <col min="2305" max="2305" width="22.5703125" style="59" customWidth="1"/>
    <col min="2306" max="2306" width="13.5703125" style="59" customWidth="1"/>
    <col min="2307" max="2307" width="14.85546875" style="59" customWidth="1"/>
    <col min="2308" max="2308" width="15" style="59" customWidth="1"/>
    <col min="2309" max="2310" width="16.42578125" style="59" customWidth="1"/>
    <col min="2311" max="2311" width="11.7109375" style="59" customWidth="1"/>
    <col min="2312" max="2559" width="9.140625" style="59"/>
    <col min="2560" max="2560" width="53.140625" style="59" customWidth="1"/>
    <col min="2561" max="2561" width="22.5703125" style="59" customWidth="1"/>
    <col min="2562" max="2562" width="13.5703125" style="59" customWidth="1"/>
    <col min="2563" max="2563" width="14.85546875" style="59" customWidth="1"/>
    <col min="2564" max="2564" width="15" style="59" customWidth="1"/>
    <col min="2565" max="2566" width="16.42578125" style="59" customWidth="1"/>
    <col min="2567" max="2567" width="11.7109375" style="59" customWidth="1"/>
    <col min="2568" max="2815" width="9.140625" style="59"/>
    <col min="2816" max="2816" width="53.140625" style="59" customWidth="1"/>
    <col min="2817" max="2817" width="22.5703125" style="59" customWidth="1"/>
    <col min="2818" max="2818" width="13.5703125" style="59" customWidth="1"/>
    <col min="2819" max="2819" width="14.85546875" style="59" customWidth="1"/>
    <col min="2820" max="2820" width="15" style="59" customWidth="1"/>
    <col min="2821" max="2822" width="16.42578125" style="59" customWidth="1"/>
    <col min="2823" max="2823" width="11.7109375" style="59" customWidth="1"/>
    <col min="2824" max="3071" width="9.140625" style="59"/>
    <col min="3072" max="3072" width="53.140625" style="59" customWidth="1"/>
    <col min="3073" max="3073" width="22.5703125" style="59" customWidth="1"/>
    <col min="3074" max="3074" width="13.5703125" style="59" customWidth="1"/>
    <col min="3075" max="3075" width="14.85546875" style="59" customWidth="1"/>
    <col min="3076" max="3076" width="15" style="59" customWidth="1"/>
    <col min="3077" max="3078" width="16.42578125" style="59" customWidth="1"/>
    <col min="3079" max="3079" width="11.7109375" style="59" customWidth="1"/>
    <col min="3080" max="3327" width="9.140625" style="59"/>
    <col min="3328" max="3328" width="53.140625" style="59" customWidth="1"/>
    <col min="3329" max="3329" width="22.5703125" style="59" customWidth="1"/>
    <col min="3330" max="3330" width="13.5703125" style="59" customWidth="1"/>
    <col min="3331" max="3331" width="14.85546875" style="59" customWidth="1"/>
    <col min="3332" max="3332" width="15" style="59" customWidth="1"/>
    <col min="3333" max="3334" width="16.42578125" style="59" customWidth="1"/>
    <col min="3335" max="3335" width="11.7109375" style="59" customWidth="1"/>
    <col min="3336" max="3583" width="9.140625" style="59"/>
    <col min="3584" max="3584" width="53.140625" style="59" customWidth="1"/>
    <col min="3585" max="3585" width="22.5703125" style="59" customWidth="1"/>
    <col min="3586" max="3586" width="13.5703125" style="59" customWidth="1"/>
    <col min="3587" max="3587" width="14.85546875" style="59" customWidth="1"/>
    <col min="3588" max="3588" width="15" style="59" customWidth="1"/>
    <col min="3589" max="3590" width="16.42578125" style="59" customWidth="1"/>
    <col min="3591" max="3591" width="11.7109375" style="59" customWidth="1"/>
    <col min="3592" max="3839" width="9.140625" style="59"/>
    <col min="3840" max="3840" width="53.140625" style="59" customWidth="1"/>
    <col min="3841" max="3841" width="22.5703125" style="59" customWidth="1"/>
    <col min="3842" max="3842" width="13.5703125" style="59" customWidth="1"/>
    <col min="3843" max="3843" width="14.85546875" style="59" customWidth="1"/>
    <col min="3844" max="3844" width="15" style="59" customWidth="1"/>
    <col min="3845" max="3846" width="16.42578125" style="59" customWidth="1"/>
    <col min="3847" max="3847" width="11.7109375" style="59" customWidth="1"/>
    <col min="3848" max="4095" width="9.140625" style="59"/>
    <col min="4096" max="4096" width="53.140625" style="59" customWidth="1"/>
    <col min="4097" max="4097" width="22.5703125" style="59" customWidth="1"/>
    <col min="4098" max="4098" width="13.5703125" style="59" customWidth="1"/>
    <col min="4099" max="4099" width="14.85546875" style="59" customWidth="1"/>
    <col min="4100" max="4100" width="15" style="59" customWidth="1"/>
    <col min="4101" max="4102" width="16.42578125" style="59" customWidth="1"/>
    <col min="4103" max="4103" width="11.7109375" style="59" customWidth="1"/>
    <col min="4104" max="4351" width="9.140625" style="59"/>
    <col min="4352" max="4352" width="53.140625" style="59" customWidth="1"/>
    <col min="4353" max="4353" width="22.5703125" style="59" customWidth="1"/>
    <col min="4354" max="4354" width="13.5703125" style="59" customWidth="1"/>
    <col min="4355" max="4355" width="14.85546875" style="59" customWidth="1"/>
    <col min="4356" max="4356" width="15" style="59" customWidth="1"/>
    <col min="4357" max="4358" width="16.42578125" style="59" customWidth="1"/>
    <col min="4359" max="4359" width="11.7109375" style="59" customWidth="1"/>
    <col min="4360" max="4607" width="9.140625" style="59"/>
    <col min="4608" max="4608" width="53.140625" style="59" customWidth="1"/>
    <col min="4609" max="4609" width="22.5703125" style="59" customWidth="1"/>
    <col min="4610" max="4610" width="13.5703125" style="59" customWidth="1"/>
    <col min="4611" max="4611" width="14.85546875" style="59" customWidth="1"/>
    <col min="4612" max="4612" width="15" style="59" customWidth="1"/>
    <col min="4613" max="4614" width="16.42578125" style="59" customWidth="1"/>
    <col min="4615" max="4615" width="11.7109375" style="59" customWidth="1"/>
    <col min="4616" max="4863" width="9.140625" style="59"/>
    <col min="4864" max="4864" width="53.140625" style="59" customWidth="1"/>
    <col min="4865" max="4865" width="22.5703125" style="59" customWidth="1"/>
    <col min="4866" max="4866" width="13.5703125" style="59" customWidth="1"/>
    <col min="4867" max="4867" width="14.85546875" style="59" customWidth="1"/>
    <col min="4868" max="4868" width="15" style="59" customWidth="1"/>
    <col min="4869" max="4870" width="16.42578125" style="59" customWidth="1"/>
    <col min="4871" max="4871" width="11.7109375" style="59" customWidth="1"/>
    <col min="4872" max="5119" width="9.140625" style="59"/>
    <col min="5120" max="5120" width="53.140625" style="59" customWidth="1"/>
    <col min="5121" max="5121" width="22.5703125" style="59" customWidth="1"/>
    <col min="5122" max="5122" width="13.5703125" style="59" customWidth="1"/>
    <col min="5123" max="5123" width="14.85546875" style="59" customWidth="1"/>
    <col min="5124" max="5124" width="15" style="59" customWidth="1"/>
    <col min="5125" max="5126" width="16.42578125" style="59" customWidth="1"/>
    <col min="5127" max="5127" width="11.7109375" style="59" customWidth="1"/>
    <col min="5128" max="5375" width="9.140625" style="59"/>
    <col min="5376" max="5376" width="53.140625" style="59" customWidth="1"/>
    <col min="5377" max="5377" width="22.5703125" style="59" customWidth="1"/>
    <col min="5378" max="5378" width="13.5703125" style="59" customWidth="1"/>
    <col min="5379" max="5379" width="14.85546875" style="59" customWidth="1"/>
    <col min="5380" max="5380" width="15" style="59" customWidth="1"/>
    <col min="5381" max="5382" width="16.42578125" style="59" customWidth="1"/>
    <col min="5383" max="5383" width="11.7109375" style="59" customWidth="1"/>
    <col min="5384" max="5631" width="9.140625" style="59"/>
    <col min="5632" max="5632" width="53.140625" style="59" customWidth="1"/>
    <col min="5633" max="5633" width="22.5703125" style="59" customWidth="1"/>
    <col min="5634" max="5634" width="13.5703125" style="59" customWidth="1"/>
    <col min="5635" max="5635" width="14.85546875" style="59" customWidth="1"/>
    <col min="5636" max="5636" width="15" style="59" customWidth="1"/>
    <col min="5637" max="5638" width="16.42578125" style="59" customWidth="1"/>
    <col min="5639" max="5639" width="11.7109375" style="59" customWidth="1"/>
    <col min="5640" max="5887" width="9.140625" style="59"/>
    <col min="5888" max="5888" width="53.140625" style="59" customWidth="1"/>
    <col min="5889" max="5889" width="22.5703125" style="59" customWidth="1"/>
    <col min="5890" max="5890" width="13.5703125" style="59" customWidth="1"/>
    <col min="5891" max="5891" width="14.85546875" style="59" customWidth="1"/>
    <col min="5892" max="5892" width="15" style="59" customWidth="1"/>
    <col min="5893" max="5894" width="16.42578125" style="59" customWidth="1"/>
    <col min="5895" max="5895" width="11.7109375" style="59" customWidth="1"/>
    <col min="5896" max="6143" width="9.140625" style="59"/>
    <col min="6144" max="6144" width="53.140625" style="59" customWidth="1"/>
    <col min="6145" max="6145" width="22.5703125" style="59" customWidth="1"/>
    <col min="6146" max="6146" width="13.5703125" style="59" customWidth="1"/>
    <col min="6147" max="6147" width="14.85546875" style="59" customWidth="1"/>
    <col min="6148" max="6148" width="15" style="59" customWidth="1"/>
    <col min="6149" max="6150" width="16.42578125" style="59" customWidth="1"/>
    <col min="6151" max="6151" width="11.7109375" style="59" customWidth="1"/>
    <col min="6152" max="6399" width="9.140625" style="59"/>
    <col min="6400" max="6400" width="53.140625" style="59" customWidth="1"/>
    <col min="6401" max="6401" width="22.5703125" style="59" customWidth="1"/>
    <col min="6402" max="6402" width="13.5703125" style="59" customWidth="1"/>
    <col min="6403" max="6403" width="14.85546875" style="59" customWidth="1"/>
    <col min="6404" max="6404" width="15" style="59" customWidth="1"/>
    <col min="6405" max="6406" width="16.42578125" style="59" customWidth="1"/>
    <col min="6407" max="6407" width="11.7109375" style="59" customWidth="1"/>
    <col min="6408" max="6655" width="9.140625" style="59"/>
    <col min="6656" max="6656" width="53.140625" style="59" customWidth="1"/>
    <col min="6657" max="6657" width="22.5703125" style="59" customWidth="1"/>
    <col min="6658" max="6658" width="13.5703125" style="59" customWidth="1"/>
    <col min="6659" max="6659" width="14.85546875" style="59" customWidth="1"/>
    <col min="6660" max="6660" width="15" style="59" customWidth="1"/>
    <col min="6661" max="6662" width="16.42578125" style="59" customWidth="1"/>
    <col min="6663" max="6663" width="11.7109375" style="59" customWidth="1"/>
    <col min="6664" max="6911" width="9.140625" style="59"/>
    <col min="6912" max="6912" width="53.140625" style="59" customWidth="1"/>
    <col min="6913" max="6913" width="22.5703125" style="59" customWidth="1"/>
    <col min="6914" max="6914" width="13.5703125" style="59" customWidth="1"/>
    <col min="6915" max="6915" width="14.85546875" style="59" customWidth="1"/>
    <col min="6916" max="6916" width="15" style="59" customWidth="1"/>
    <col min="6917" max="6918" width="16.42578125" style="59" customWidth="1"/>
    <col min="6919" max="6919" width="11.7109375" style="59" customWidth="1"/>
    <col min="6920" max="7167" width="9.140625" style="59"/>
    <col min="7168" max="7168" width="53.140625" style="59" customWidth="1"/>
    <col min="7169" max="7169" width="22.5703125" style="59" customWidth="1"/>
    <col min="7170" max="7170" width="13.5703125" style="59" customWidth="1"/>
    <col min="7171" max="7171" width="14.85546875" style="59" customWidth="1"/>
    <col min="7172" max="7172" width="15" style="59" customWidth="1"/>
    <col min="7173" max="7174" width="16.42578125" style="59" customWidth="1"/>
    <col min="7175" max="7175" width="11.7109375" style="59" customWidth="1"/>
    <col min="7176" max="7423" width="9.140625" style="59"/>
    <col min="7424" max="7424" width="53.140625" style="59" customWidth="1"/>
    <col min="7425" max="7425" width="22.5703125" style="59" customWidth="1"/>
    <col min="7426" max="7426" width="13.5703125" style="59" customWidth="1"/>
    <col min="7427" max="7427" width="14.85546875" style="59" customWidth="1"/>
    <col min="7428" max="7428" width="15" style="59" customWidth="1"/>
    <col min="7429" max="7430" width="16.42578125" style="59" customWidth="1"/>
    <col min="7431" max="7431" width="11.7109375" style="59" customWidth="1"/>
    <col min="7432" max="7679" width="9.140625" style="59"/>
    <col min="7680" max="7680" width="53.140625" style="59" customWidth="1"/>
    <col min="7681" max="7681" width="22.5703125" style="59" customWidth="1"/>
    <col min="7682" max="7682" width="13.5703125" style="59" customWidth="1"/>
    <col min="7683" max="7683" width="14.85546875" style="59" customWidth="1"/>
    <col min="7684" max="7684" width="15" style="59" customWidth="1"/>
    <col min="7685" max="7686" width="16.42578125" style="59" customWidth="1"/>
    <col min="7687" max="7687" width="11.7109375" style="59" customWidth="1"/>
    <col min="7688" max="7935" width="9.140625" style="59"/>
    <col min="7936" max="7936" width="53.140625" style="59" customWidth="1"/>
    <col min="7937" max="7937" width="22.5703125" style="59" customWidth="1"/>
    <col min="7938" max="7938" width="13.5703125" style="59" customWidth="1"/>
    <col min="7939" max="7939" width="14.85546875" style="59" customWidth="1"/>
    <col min="7940" max="7940" width="15" style="59" customWidth="1"/>
    <col min="7941" max="7942" width="16.42578125" style="59" customWidth="1"/>
    <col min="7943" max="7943" width="11.7109375" style="59" customWidth="1"/>
    <col min="7944" max="8191" width="9.140625" style="59"/>
    <col min="8192" max="8192" width="53.140625" style="59" customWidth="1"/>
    <col min="8193" max="8193" width="22.5703125" style="59" customWidth="1"/>
    <col min="8194" max="8194" width="13.5703125" style="59" customWidth="1"/>
    <col min="8195" max="8195" width="14.85546875" style="59" customWidth="1"/>
    <col min="8196" max="8196" width="15" style="59" customWidth="1"/>
    <col min="8197" max="8198" width="16.42578125" style="59" customWidth="1"/>
    <col min="8199" max="8199" width="11.7109375" style="59" customWidth="1"/>
    <col min="8200" max="8447" width="9.140625" style="59"/>
    <col min="8448" max="8448" width="53.140625" style="59" customWidth="1"/>
    <col min="8449" max="8449" width="22.5703125" style="59" customWidth="1"/>
    <col min="8450" max="8450" width="13.5703125" style="59" customWidth="1"/>
    <col min="8451" max="8451" width="14.85546875" style="59" customWidth="1"/>
    <col min="8452" max="8452" width="15" style="59" customWidth="1"/>
    <col min="8453" max="8454" width="16.42578125" style="59" customWidth="1"/>
    <col min="8455" max="8455" width="11.7109375" style="59" customWidth="1"/>
    <col min="8456" max="8703" width="9.140625" style="59"/>
    <col min="8704" max="8704" width="53.140625" style="59" customWidth="1"/>
    <col min="8705" max="8705" width="22.5703125" style="59" customWidth="1"/>
    <col min="8706" max="8706" width="13.5703125" style="59" customWidth="1"/>
    <col min="8707" max="8707" width="14.85546875" style="59" customWidth="1"/>
    <col min="8708" max="8708" width="15" style="59" customWidth="1"/>
    <col min="8709" max="8710" width="16.42578125" style="59" customWidth="1"/>
    <col min="8711" max="8711" width="11.7109375" style="59" customWidth="1"/>
    <col min="8712" max="8959" width="9.140625" style="59"/>
    <col min="8960" max="8960" width="53.140625" style="59" customWidth="1"/>
    <col min="8961" max="8961" width="22.5703125" style="59" customWidth="1"/>
    <col min="8962" max="8962" width="13.5703125" style="59" customWidth="1"/>
    <col min="8963" max="8963" width="14.85546875" style="59" customWidth="1"/>
    <col min="8964" max="8964" width="15" style="59" customWidth="1"/>
    <col min="8965" max="8966" width="16.42578125" style="59" customWidth="1"/>
    <col min="8967" max="8967" width="11.7109375" style="59" customWidth="1"/>
    <col min="8968" max="9215" width="9.140625" style="59"/>
    <col min="9216" max="9216" width="53.140625" style="59" customWidth="1"/>
    <col min="9217" max="9217" width="22.5703125" style="59" customWidth="1"/>
    <col min="9218" max="9218" width="13.5703125" style="59" customWidth="1"/>
    <col min="9219" max="9219" width="14.85546875" style="59" customWidth="1"/>
    <col min="9220" max="9220" width="15" style="59" customWidth="1"/>
    <col min="9221" max="9222" width="16.42578125" style="59" customWidth="1"/>
    <col min="9223" max="9223" width="11.7109375" style="59" customWidth="1"/>
    <col min="9224" max="9471" width="9.140625" style="59"/>
    <col min="9472" max="9472" width="53.140625" style="59" customWidth="1"/>
    <col min="9473" max="9473" width="22.5703125" style="59" customWidth="1"/>
    <col min="9474" max="9474" width="13.5703125" style="59" customWidth="1"/>
    <col min="9475" max="9475" width="14.85546875" style="59" customWidth="1"/>
    <col min="9476" max="9476" width="15" style="59" customWidth="1"/>
    <col min="9477" max="9478" width="16.42578125" style="59" customWidth="1"/>
    <col min="9479" max="9479" width="11.7109375" style="59" customWidth="1"/>
    <col min="9480" max="9727" width="9.140625" style="59"/>
    <col min="9728" max="9728" width="53.140625" style="59" customWidth="1"/>
    <col min="9729" max="9729" width="22.5703125" style="59" customWidth="1"/>
    <col min="9730" max="9730" width="13.5703125" style="59" customWidth="1"/>
    <col min="9731" max="9731" width="14.85546875" style="59" customWidth="1"/>
    <col min="9732" max="9732" width="15" style="59" customWidth="1"/>
    <col min="9733" max="9734" width="16.42578125" style="59" customWidth="1"/>
    <col min="9735" max="9735" width="11.7109375" style="59" customWidth="1"/>
    <col min="9736" max="9983" width="9.140625" style="59"/>
    <col min="9984" max="9984" width="53.140625" style="59" customWidth="1"/>
    <col min="9985" max="9985" width="22.5703125" style="59" customWidth="1"/>
    <col min="9986" max="9986" width="13.5703125" style="59" customWidth="1"/>
    <col min="9987" max="9987" width="14.85546875" style="59" customWidth="1"/>
    <col min="9988" max="9988" width="15" style="59" customWidth="1"/>
    <col min="9989" max="9990" width="16.42578125" style="59" customWidth="1"/>
    <col min="9991" max="9991" width="11.7109375" style="59" customWidth="1"/>
    <col min="9992" max="10239" width="9.140625" style="59"/>
    <col min="10240" max="10240" width="53.140625" style="59" customWidth="1"/>
    <col min="10241" max="10241" width="22.5703125" style="59" customWidth="1"/>
    <col min="10242" max="10242" width="13.5703125" style="59" customWidth="1"/>
    <col min="10243" max="10243" width="14.85546875" style="59" customWidth="1"/>
    <col min="10244" max="10244" width="15" style="59" customWidth="1"/>
    <col min="10245" max="10246" width="16.42578125" style="59" customWidth="1"/>
    <col min="10247" max="10247" width="11.7109375" style="59" customWidth="1"/>
    <col min="10248" max="10495" width="9.140625" style="59"/>
    <col min="10496" max="10496" width="53.140625" style="59" customWidth="1"/>
    <col min="10497" max="10497" width="22.5703125" style="59" customWidth="1"/>
    <col min="10498" max="10498" width="13.5703125" style="59" customWidth="1"/>
    <col min="10499" max="10499" width="14.85546875" style="59" customWidth="1"/>
    <col min="10500" max="10500" width="15" style="59" customWidth="1"/>
    <col min="10501" max="10502" width="16.42578125" style="59" customWidth="1"/>
    <col min="10503" max="10503" width="11.7109375" style="59" customWidth="1"/>
    <col min="10504" max="10751" width="9.140625" style="59"/>
    <col min="10752" max="10752" width="53.140625" style="59" customWidth="1"/>
    <col min="10753" max="10753" width="22.5703125" style="59" customWidth="1"/>
    <col min="10754" max="10754" width="13.5703125" style="59" customWidth="1"/>
    <col min="10755" max="10755" width="14.85546875" style="59" customWidth="1"/>
    <col min="10756" max="10756" width="15" style="59" customWidth="1"/>
    <col min="10757" max="10758" width="16.42578125" style="59" customWidth="1"/>
    <col min="10759" max="10759" width="11.7109375" style="59" customWidth="1"/>
    <col min="10760" max="11007" width="9.140625" style="59"/>
    <col min="11008" max="11008" width="53.140625" style="59" customWidth="1"/>
    <col min="11009" max="11009" width="22.5703125" style="59" customWidth="1"/>
    <col min="11010" max="11010" width="13.5703125" style="59" customWidth="1"/>
    <col min="11011" max="11011" width="14.85546875" style="59" customWidth="1"/>
    <col min="11012" max="11012" width="15" style="59" customWidth="1"/>
    <col min="11013" max="11014" width="16.42578125" style="59" customWidth="1"/>
    <col min="11015" max="11015" width="11.7109375" style="59" customWidth="1"/>
    <col min="11016" max="11263" width="9.140625" style="59"/>
    <col min="11264" max="11264" width="53.140625" style="59" customWidth="1"/>
    <col min="11265" max="11265" width="22.5703125" style="59" customWidth="1"/>
    <col min="11266" max="11266" width="13.5703125" style="59" customWidth="1"/>
    <col min="11267" max="11267" width="14.85546875" style="59" customWidth="1"/>
    <col min="11268" max="11268" width="15" style="59" customWidth="1"/>
    <col min="11269" max="11270" width="16.42578125" style="59" customWidth="1"/>
    <col min="11271" max="11271" width="11.7109375" style="59" customWidth="1"/>
    <col min="11272" max="11519" width="9.140625" style="59"/>
    <col min="11520" max="11520" width="53.140625" style="59" customWidth="1"/>
    <col min="11521" max="11521" width="22.5703125" style="59" customWidth="1"/>
    <col min="11522" max="11522" width="13.5703125" style="59" customWidth="1"/>
    <col min="11523" max="11523" width="14.85546875" style="59" customWidth="1"/>
    <col min="11524" max="11524" width="15" style="59" customWidth="1"/>
    <col min="11525" max="11526" width="16.42578125" style="59" customWidth="1"/>
    <col min="11527" max="11527" width="11.7109375" style="59" customWidth="1"/>
    <col min="11528" max="11775" width="9.140625" style="59"/>
    <col min="11776" max="11776" width="53.140625" style="59" customWidth="1"/>
    <col min="11777" max="11777" width="22.5703125" style="59" customWidth="1"/>
    <col min="11778" max="11778" width="13.5703125" style="59" customWidth="1"/>
    <col min="11779" max="11779" width="14.85546875" style="59" customWidth="1"/>
    <col min="11780" max="11780" width="15" style="59" customWidth="1"/>
    <col min="11781" max="11782" width="16.42578125" style="59" customWidth="1"/>
    <col min="11783" max="11783" width="11.7109375" style="59" customWidth="1"/>
    <col min="11784" max="12031" width="9.140625" style="59"/>
    <col min="12032" max="12032" width="53.140625" style="59" customWidth="1"/>
    <col min="12033" max="12033" width="22.5703125" style="59" customWidth="1"/>
    <col min="12034" max="12034" width="13.5703125" style="59" customWidth="1"/>
    <col min="12035" max="12035" width="14.85546875" style="59" customWidth="1"/>
    <col min="12036" max="12036" width="15" style="59" customWidth="1"/>
    <col min="12037" max="12038" width="16.42578125" style="59" customWidth="1"/>
    <col min="12039" max="12039" width="11.7109375" style="59" customWidth="1"/>
    <col min="12040" max="12287" width="9.140625" style="59"/>
    <col min="12288" max="12288" width="53.140625" style="59" customWidth="1"/>
    <col min="12289" max="12289" width="22.5703125" style="59" customWidth="1"/>
    <col min="12290" max="12290" width="13.5703125" style="59" customWidth="1"/>
    <col min="12291" max="12291" width="14.85546875" style="59" customWidth="1"/>
    <col min="12292" max="12292" width="15" style="59" customWidth="1"/>
    <col min="12293" max="12294" width="16.42578125" style="59" customWidth="1"/>
    <col min="12295" max="12295" width="11.7109375" style="59" customWidth="1"/>
    <col min="12296" max="12543" width="9.140625" style="59"/>
    <col min="12544" max="12544" width="53.140625" style="59" customWidth="1"/>
    <col min="12545" max="12545" width="22.5703125" style="59" customWidth="1"/>
    <col min="12546" max="12546" width="13.5703125" style="59" customWidth="1"/>
    <col min="12547" max="12547" width="14.85546875" style="59" customWidth="1"/>
    <col min="12548" max="12548" width="15" style="59" customWidth="1"/>
    <col min="12549" max="12550" width="16.42578125" style="59" customWidth="1"/>
    <col min="12551" max="12551" width="11.7109375" style="59" customWidth="1"/>
    <col min="12552" max="12799" width="9.140625" style="59"/>
    <col min="12800" max="12800" width="53.140625" style="59" customWidth="1"/>
    <col min="12801" max="12801" width="22.5703125" style="59" customWidth="1"/>
    <col min="12802" max="12802" width="13.5703125" style="59" customWidth="1"/>
    <col min="12803" max="12803" width="14.85546875" style="59" customWidth="1"/>
    <col min="12804" max="12804" width="15" style="59" customWidth="1"/>
    <col min="12805" max="12806" width="16.42578125" style="59" customWidth="1"/>
    <col min="12807" max="12807" width="11.7109375" style="59" customWidth="1"/>
    <col min="12808" max="13055" width="9.140625" style="59"/>
    <col min="13056" max="13056" width="53.140625" style="59" customWidth="1"/>
    <col min="13057" max="13057" width="22.5703125" style="59" customWidth="1"/>
    <col min="13058" max="13058" width="13.5703125" style="59" customWidth="1"/>
    <col min="13059" max="13059" width="14.85546875" style="59" customWidth="1"/>
    <col min="13060" max="13060" width="15" style="59" customWidth="1"/>
    <col min="13061" max="13062" width="16.42578125" style="59" customWidth="1"/>
    <col min="13063" max="13063" width="11.7109375" style="59" customWidth="1"/>
    <col min="13064" max="13311" width="9.140625" style="59"/>
    <col min="13312" max="13312" width="53.140625" style="59" customWidth="1"/>
    <col min="13313" max="13313" width="22.5703125" style="59" customWidth="1"/>
    <col min="13314" max="13314" width="13.5703125" style="59" customWidth="1"/>
    <col min="13315" max="13315" width="14.85546875" style="59" customWidth="1"/>
    <col min="13316" max="13316" width="15" style="59" customWidth="1"/>
    <col min="13317" max="13318" width="16.42578125" style="59" customWidth="1"/>
    <col min="13319" max="13319" width="11.7109375" style="59" customWidth="1"/>
    <col min="13320" max="13567" width="9.140625" style="59"/>
    <col min="13568" max="13568" width="53.140625" style="59" customWidth="1"/>
    <col min="13569" max="13569" width="22.5703125" style="59" customWidth="1"/>
    <col min="13570" max="13570" width="13.5703125" style="59" customWidth="1"/>
    <col min="13571" max="13571" width="14.85546875" style="59" customWidth="1"/>
    <col min="13572" max="13572" width="15" style="59" customWidth="1"/>
    <col min="13573" max="13574" width="16.42578125" style="59" customWidth="1"/>
    <col min="13575" max="13575" width="11.7109375" style="59" customWidth="1"/>
    <col min="13576" max="13823" width="9.140625" style="59"/>
    <col min="13824" max="13824" width="53.140625" style="59" customWidth="1"/>
    <col min="13825" max="13825" width="22.5703125" style="59" customWidth="1"/>
    <col min="13826" max="13826" width="13.5703125" style="59" customWidth="1"/>
    <col min="13827" max="13827" width="14.85546875" style="59" customWidth="1"/>
    <col min="13828" max="13828" width="15" style="59" customWidth="1"/>
    <col min="13829" max="13830" width="16.42578125" style="59" customWidth="1"/>
    <col min="13831" max="13831" width="11.7109375" style="59" customWidth="1"/>
    <col min="13832" max="14079" width="9.140625" style="59"/>
    <col min="14080" max="14080" width="53.140625" style="59" customWidth="1"/>
    <col min="14081" max="14081" width="22.5703125" style="59" customWidth="1"/>
    <col min="14082" max="14082" width="13.5703125" style="59" customWidth="1"/>
    <col min="14083" max="14083" width="14.85546875" style="59" customWidth="1"/>
    <col min="14084" max="14084" width="15" style="59" customWidth="1"/>
    <col min="14085" max="14086" width="16.42578125" style="59" customWidth="1"/>
    <col min="14087" max="14087" width="11.7109375" style="59" customWidth="1"/>
    <col min="14088" max="14335" width="9.140625" style="59"/>
    <col min="14336" max="14336" width="53.140625" style="59" customWidth="1"/>
    <col min="14337" max="14337" width="22.5703125" style="59" customWidth="1"/>
    <col min="14338" max="14338" width="13.5703125" style="59" customWidth="1"/>
    <col min="14339" max="14339" width="14.85546875" style="59" customWidth="1"/>
    <col min="14340" max="14340" width="15" style="59" customWidth="1"/>
    <col min="14341" max="14342" width="16.42578125" style="59" customWidth="1"/>
    <col min="14343" max="14343" width="11.7109375" style="59" customWidth="1"/>
    <col min="14344" max="14591" width="9.140625" style="59"/>
    <col min="14592" max="14592" width="53.140625" style="59" customWidth="1"/>
    <col min="14593" max="14593" width="22.5703125" style="59" customWidth="1"/>
    <col min="14594" max="14594" width="13.5703125" style="59" customWidth="1"/>
    <col min="14595" max="14595" width="14.85546875" style="59" customWidth="1"/>
    <col min="14596" max="14596" width="15" style="59" customWidth="1"/>
    <col min="14597" max="14598" width="16.42578125" style="59" customWidth="1"/>
    <col min="14599" max="14599" width="11.7109375" style="59" customWidth="1"/>
    <col min="14600" max="14847" width="9.140625" style="59"/>
    <col min="14848" max="14848" width="53.140625" style="59" customWidth="1"/>
    <col min="14849" max="14849" width="22.5703125" style="59" customWidth="1"/>
    <col min="14850" max="14850" width="13.5703125" style="59" customWidth="1"/>
    <col min="14851" max="14851" width="14.85546875" style="59" customWidth="1"/>
    <col min="14852" max="14852" width="15" style="59" customWidth="1"/>
    <col min="14853" max="14854" width="16.42578125" style="59" customWidth="1"/>
    <col min="14855" max="14855" width="11.7109375" style="59" customWidth="1"/>
    <col min="14856" max="15103" width="9.140625" style="59"/>
    <col min="15104" max="15104" width="53.140625" style="59" customWidth="1"/>
    <col min="15105" max="15105" width="22.5703125" style="59" customWidth="1"/>
    <col min="15106" max="15106" width="13.5703125" style="59" customWidth="1"/>
    <col min="15107" max="15107" width="14.85546875" style="59" customWidth="1"/>
    <col min="15108" max="15108" width="15" style="59" customWidth="1"/>
    <col min="15109" max="15110" width="16.42578125" style="59" customWidth="1"/>
    <col min="15111" max="15111" width="11.7109375" style="59" customWidth="1"/>
    <col min="15112" max="15359" width="9.140625" style="59"/>
    <col min="15360" max="15360" width="53.140625" style="59" customWidth="1"/>
    <col min="15361" max="15361" width="22.5703125" style="59" customWidth="1"/>
    <col min="15362" max="15362" width="13.5703125" style="59" customWidth="1"/>
    <col min="15363" max="15363" width="14.85546875" style="59" customWidth="1"/>
    <col min="15364" max="15364" width="15" style="59" customWidth="1"/>
    <col min="15365" max="15366" width="16.42578125" style="59" customWidth="1"/>
    <col min="15367" max="15367" width="11.7109375" style="59" customWidth="1"/>
    <col min="15368" max="15615" width="9.140625" style="59"/>
    <col min="15616" max="15616" width="53.140625" style="59" customWidth="1"/>
    <col min="15617" max="15617" width="22.5703125" style="59" customWidth="1"/>
    <col min="15618" max="15618" width="13.5703125" style="59" customWidth="1"/>
    <col min="15619" max="15619" width="14.85546875" style="59" customWidth="1"/>
    <col min="15620" max="15620" width="15" style="59" customWidth="1"/>
    <col min="15621" max="15622" width="16.42578125" style="59" customWidth="1"/>
    <col min="15623" max="15623" width="11.7109375" style="59" customWidth="1"/>
    <col min="15624" max="15871" width="9.140625" style="59"/>
    <col min="15872" max="15872" width="53.140625" style="59" customWidth="1"/>
    <col min="15873" max="15873" width="22.5703125" style="59" customWidth="1"/>
    <col min="15874" max="15874" width="13.5703125" style="59" customWidth="1"/>
    <col min="15875" max="15875" width="14.85546875" style="59" customWidth="1"/>
    <col min="15876" max="15876" width="15" style="59" customWidth="1"/>
    <col min="15877" max="15878" width="16.42578125" style="59" customWidth="1"/>
    <col min="15879" max="15879" width="11.7109375" style="59" customWidth="1"/>
    <col min="15880" max="16127" width="9.140625" style="59"/>
    <col min="16128" max="16128" width="53.140625" style="59" customWidth="1"/>
    <col min="16129" max="16129" width="22.5703125" style="59" customWidth="1"/>
    <col min="16130" max="16130" width="13.5703125" style="59" customWidth="1"/>
    <col min="16131" max="16131" width="14.85546875" style="59" customWidth="1"/>
    <col min="16132" max="16132" width="15" style="59" customWidth="1"/>
    <col min="16133" max="16134" width="16.42578125" style="59" customWidth="1"/>
    <col min="16135" max="16135" width="11.7109375" style="59" customWidth="1"/>
    <col min="16136" max="16384" width="9.140625" style="59"/>
  </cols>
  <sheetData>
    <row r="1" spans="1:7" s="16" customFormat="1" ht="18" x14ac:dyDescent="0.35">
      <c r="A1" s="471" t="s">
        <v>20</v>
      </c>
      <c r="B1" s="472"/>
      <c r="C1" s="472"/>
      <c r="D1" s="472"/>
      <c r="E1" s="472"/>
      <c r="F1" s="472"/>
      <c r="G1" s="472"/>
    </row>
    <row r="2" spans="1:7" s="16" customFormat="1" ht="18" x14ac:dyDescent="0.35">
      <c r="A2" s="471" t="s">
        <v>2</v>
      </c>
      <c r="B2" s="472"/>
      <c r="C2" s="472"/>
      <c r="D2" s="472"/>
      <c r="E2" s="472"/>
      <c r="F2" s="472"/>
      <c r="G2" s="472"/>
    </row>
    <row r="3" spans="1:7" s="16" customFormat="1" ht="18" x14ac:dyDescent="0.35">
      <c r="A3" s="467" t="s">
        <v>363</v>
      </c>
      <c r="B3" s="473"/>
      <c r="C3" s="473"/>
      <c r="D3" s="473"/>
      <c r="E3" s="473"/>
      <c r="F3" s="473"/>
      <c r="G3" s="473"/>
    </row>
    <row r="4" spans="1:7" s="16" customFormat="1" ht="18" x14ac:dyDescent="0.35">
      <c r="A4" s="471" t="s">
        <v>400</v>
      </c>
      <c r="B4" s="472"/>
      <c r="C4" s="472"/>
      <c r="D4" s="472"/>
      <c r="E4" s="472"/>
      <c r="F4" s="472"/>
      <c r="G4" s="472"/>
    </row>
    <row r="5" spans="1:7" s="19" customFormat="1" ht="18.75" x14ac:dyDescent="0.3">
      <c r="A5" s="17"/>
      <c r="B5" s="18"/>
      <c r="C5" s="18"/>
      <c r="D5" s="18"/>
      <c r="E5" s="18"/>
      <c r="F5" s="18"/>
      <c r="G5" s="18"/>
    </row>
    <row r="6" spans="1:7" s="23" customFormat="1" ht="45" x14ac:dyDescent="0.3">
      <c r="A6" s="20" t="s">
        <v>21</v>
      </c>
      <c r="B6" s="21" t="s">
        <v>4</v>
      </c>
      <c r="C6" s="10" t="s">
        <v>5</v>
      </c>
      <c r="D6" s="21" t="s">
        <v>22</v>
      </c>
      <c r="E6" s="382" t="s">
        <v>367</v>
      </c>
      <c r="F6" s="382" t="s">
        <v>368</v>
      </c>
      <c r="G6" s="441" t="s">
        <v>386</v>
      </c>
    </row>
    <row r="7" spans="1:7" s="28" customFormat="1" ht="15" x14ac:dyDescent="0.3">
      <c r="A7" s="24" t="s">
        <v>6</v>
      </c>
      <c r="B7" s="277">
        <v>1789552509</v>
      </c>
      <c r="C7" s="25">
        <f>B7/$B$25</f>
        <v>0.15473397845962178</v>
      </c>
      <c r="D7" s="278">
        <v>189435</v>
      </c>
      <c r="E7" s="26">
        <f>B7/D7</f>
        <v>9446.789183624991</v>
      </c>
      <c r="F7" s="27">
        <v>8817.3737768771225</v>
      </c>
      <c r="G7" s="25">
        <f>(E7-F7)/F7</f>
        <v>7.1383546016667854E-2</v>
      </c>
    </row>
    <row r="8" spans="1:7" s="28" customFormat="1" ht="15" x14ac:dyDescent="0.3">
      <c r="A8" s="29" t="s">
        <v>23</v>
      </c>
      <c r="B8" s="277">
        <v>3642950</v>
      </c>
      <c r="C8" s="25">
        <f>B8/$B$25</f>
        <v>3.149883247317887E-4</v>
      </c>
      <c r="D8" s="278">
        <v>15003</v>
      </c>
      <c r="E8" s="26">
        <f>B8/D8</f>
        <v>242.81477037925748</v>
      </c>
      <c r="F8" s="26">
        <v>175.38321386878354</v>
      </c>
      <c r="G8" s="25">
        <f>(E8-F8)/F8</f>
        <v>0.38448124551374802</v>
      </c>
    </row>
    <row r="9" spans="1:7" s="28" customFormat="1" ht="15" x14ac:dyDescent="0.3">
      <c r="A9" s="30" t="s">
        <v>24</v>
      </c>
      <c r="B9" s="31">
        <f>B7+B8</f>
        <v>1793195459</v>
      </c>
      <c r="C9" s="32">
        <f>B9/$B$25</f>
        <v>0.15504896678435356</v>
      </c>
      <c r="D9" s="33"/>
      <c r="E9" s="34"/>
      <c r="F9" s="35"/>
      <c r="G9" s="32"/>
    </row>
    <row r="10" spans="1:7" s="28" customFormat="1" ht="9" customHeight="1" x14ac:dyDescent="0.3">
      <c r="A10" s="30"/>
      <c r="B10" s="31"/>
      <c r="C10" s="32"/>
      <c r="D10" s="33"/>
      <c r="E10" s="34"/>
      <c r="F10" s="35"/>
      <c r="G10" s="32"/>
    </row>
    <row r="11" spans="1:7" s="28" customFormat="1" ht="15" x14ac:dyDescent="0.3">
      <c r="A11" s="29" t="s">
        <v>10</v>
      </c>
      <c r="B11" s="279">
        <v>5401236659</v>
      </c>
      <c r="C11" s="25">
        <f>B11/$B$25</f>
        <v>0.46701889586690276</v>
      </c>
      <c r="D11" s="278">
        <v>392850</v>
      </c>
      <c r="E11" s="26">
        <f>B11/D11</f>
        <v>13748.852383861526</v>
      </c>
      <c r="F11" s="27">
        <v>12706.054768535556</v>
      </c>
      <c r="G11" s="25">
        <f>(E11-F11)/F11</f>
        <v>8.2070920858005866E-2</v>
      </c>
    </row>
    <row r="12" spans="1:7" s="28" customFormat="1" ht="15" x14ac:dyDescent="0.3">
      <c r="A12" s="29" t="s">
        <v>9</v>
      </c>
      <c r="B12" s="26">
        <v>25373346</v>
      </c>
      <c r="C12" s="25">
        <f>B12/$B$25</f>
        <v>2.1939109099438727E-3</v>
      </c>
      <c r="D12" s="278">
        <v>2314</v>
      </c>
      <c r="E12" s="26">
        <f>B12/D12</f>
        <v>10965.145203111495</v>
      </c>
      <c r="F12" s="26">
        <v>9879.357998460353</v>
      </c>
      <c r="G12" s="25">
        <f>(E12-F12)/F12</f>
        <v>0.10990463194271899</v>
      </c>
    </row>
    <row r="13" spans="1:7" s="28" customFormat="1" ht="15" x14ac:dyDescent="0.3">
      <c r="A13" s="30" t="s">
        <v>25</v>
      </c>
      <c r="B13" s="31">
        <f>B11+B12</f>
        <v>5426610005</v>
      </c>
      <c r="C13" s="32">
        <f>B13/$B$25</f>
        <v>0.46921280677684662</v>
      </c>
      <c r="D13" s="33"/>
      <c r="E13" s="34"/>
      <c r="F13" s="34"/>
      <c r="G13" s="32"/>
    </row>
    <row r="14" spans="1:7" s="28" customFormat="1" ht="8.25" customHeight="1" x14ac:dyDescent="0.3">
      <c r="A14" s="36"/>
      <c r="B14" s="26"/>
      <c r="C14" s="32"/>
      <c r="D14" s="37"/>
      <c r="E14" s="26"/>
      <c r="F14" s="34"/>
      <c r="G14" s="32"/>
    </row>
    <row r="15" spans="1:7" s="28" customFormat="1" ht="15" x14ac:dyDescent="0.3">
      <c r="A15" s="29" t="s">
        <v>26</v>
      </c>
      <c r="B15" s="277">
        <v>1162627908</v>
      </c>
      <c r="C15" s="25">
        <f>B15/$B$25</f>
        <v>0.10052683046084743</v>
      </c>
      <c r="D15" s="280">
        <v>383295</v>
      </c>
      <c r="E15" s="26">
        <f t="shared" ref="E15:E20" si="0">B15/D15</f>
        <v>3033.2456932649789</v>
      </c>
      <c r="F15" s="26">
        <v>3401.2423262963198</v>
      </c>
      <c r="G15" s="25">
        <f t="shared" ref="G15:G20" si="1">(E15-F15)/F15</f>
        <v>-0.10819477053611166</v>
      </c>
    </row>
    <row r="16" spans="1:7" s="28" customFormat="1" ht="15" x14ac:dyDescent="0.3">
      <c r="A16" s="29" t="s">
        <v>27</v>
      </c>
      <c r="B16" s="26">
        <v>163279919</v>
      </c>
      <c r="C16" s="25">
        <f t="shared" ref="C16:C20" si="2">B16/$B$25</f>
        <v>1.411802746349858E-2</v>
      </c>
      <c r="D16" s="280">
        <v>101286</v>
      </c>
      <c r="E16" s="26">
        <f t="shared" si="0"/>
        <v>1612.0679955768812</v>
      </c>
      <c r="F16" s="26">
        <v>2023.9564266036496</v>
      </c>
      <c r="G16" s="25">
        <f t="shared" si="1"/>
        <v>-0.2035065704047532</v>
      </c>
    </row>
    <row r="17" spans="1:16" s="28" customFormat="1" ht="15" x14ac:dyDescent="0.3">
      <c r="A17" s="29" t="s">
        <v>28</v>
      </c>
      <c r="B17" s="26">
        <v>1532958325</v>
      </c>
      <c r="C17" s="25">
        <f t="shared" si="2"/>
        <v>0.13254751634675163</v>
      </c>
      <c r="D17" s="280">
        <v>928507</v>
      </c>
      <c r="E17" s="26">
        <f t="shared" si="0"/>
        <v>1650.9927496507835</v>
      </c>
      <c r="F17" s="26">
        <v>1802.8623013382951</v>
      </c>
      <c r="G17" s="25">
        <f t="shared" si="1"/>
        <v>-8.4238020604666411E-2</v>
      </c>
    </row>
    <row r="18" spans="1:16" s="28" customFormat="1" ht="15" x14ac:dyDescent="0.3">
      <c r="A18" s="29" t="s">
        <v>29</v>
      </c>
      <c r="B18" s="277">
        <v>1074061683</v>
      </c>
      <c r="C18" s="25">
        <f t="shared" si="2"/>
        <v>9.2868935941139874E-2</v>
      </c>
      <c r="D18" s="280">
        <v>806684</v>
      </c>
      <c r="E18" s="26">
        <f t="shared" si="0"/>
        <v>1331.4528154766922</v>
      </c>
      <c r="F18" s="26">
        <v>1472.8691796382752</v>
      </c>
      <c r="G18" s="25">
        <f t="shared" si="1"/>
        <v>-9.6014205549683471E-2</v>
      </c>
    </row>
    <row r="19" spans="1:16" s="28" customFormat="1" ht="15" x14ac:dyDescent="0.3">
      <c r="A19" s="29" t="s">
        <v>30</v>
      </c>
      <c r="B19" s="277">
        <v>14779016</v>
      </c>
      <c r="C19" s="25">
        <f t="shared" si="2"/>
        <v>1.2778702675096559E-3</v>
      </c>
      <c r="D19" s="280">
        <v>1139</v>
      </c>
      <c r="E19" s="26">
        <f t="shared" si="0"/>
        <v>12975.431079894644</v>
      </c>
      <c r="F19" s="26">
        <v>16843.886147635523</v>
      </c>
      <c r="G19" s="25">
        <f t="shared" si="1"/>
        <v>-0.22966523484154022</v>
      </c>
    </row>
    <row r="20" spans="1:16" s="28" customFormat="1" ht="15" x14ac:dyDescent="0.3">
      <c r="A20" s="29" t="s">
        <v>31</v>
      </c>
      <c r="B20" s="26">
        <v>292058333</v>
      </c>
      <c r="C20" s="25">
        <f t="shared" si="2"/>
        <v>2.5252876112938381E-2</v>
      </c>
      <c r="D20" s="280">
        <v>311916</v>
      </c>
      <c r="E20" s="26">
        <f t="shared" si="0"/>
        <v>936.33649123481962</v>
      </c>
      <c r="F20" s="26">
        <v>1080.1045862300789</v>
      </c>
      <c r="G20" s="25">
        <f t="shared" si="1"/>
        <v>-0.13310571663903153</v>
      </c>
    </row>
    <row r="21" spans="1:16" s="28" customFormat="1" ht="15" x14ac:dyDescent="0.3">
      <c r="A21" s="30" t="s">
        <v>32</v>
      </c>
      <c r="B21" s="31">
        <f>B15+B16+B17+B18+B19+B20</f>
        <v>4239765184</v>
      </c>
      <c r="C21" s="32">
        <f>B21/$B$25</f>
        <v>0.36659205659268557</v>
      </c>
      <c r="D21" s="33"/>
      <c r="E21" s="34"/>
      <c r="F21" s="34"/>
      <c r="G21" s="25"/>
    </row>
    <row r="22" spans="1:16" s="28" customFormat="1" ht="7.5" customHeight="1" x14ac:dyDescent="0.3">
      <c r="A22" s="30"/>
      <c r="B22" s="31"/>
      <c r="C22" s="32"/>
      <c r="D22" s="37"/>
      <c r="E22" s="26"/>
      <c r="F22" s="34"/>
      <c r="G22" s="32"/>
    </row>
    <row r="23" spans="1:16" s="38" customFormat="1" ht="15" x14ac:dyDescent="0.3">
      <c r="A23" s="30" t="s">
        <v>33</v>
      </c>
      <c r="B23" s="34">
        <v>105778649</v>
      </c>
      <c r="C23" s="32">
        <f>B23/$B$25</f>
        <v>9.1461698461142472E-3</v>
      </c>
      <c r="D23" s="449">
        <v>43295</v>
      </c>
      <c r="E23" s="34">
        <f>B23/D23</f>
        <v>2443.2070446933826</v>
      </c>
      <c r="F23" s="34">
        <v>2417.9407450729459</v>
      </c>
      <c r="G23" s="32">
        <f>(E23-F23)/F23</f>
        <v>1.0449511499370703E-2</v>
      </c>
    </row>
    <row r="24" spans="1:16" s="28" customFormat="1" ht="7.5" customHeight="1" x14ac:dyDescent="0.3">
      <c r="A24" s="30"/>
      <c r="B24" s="31"/>
      <c r="C24" s="32"/>
      <c r="D24" s="39"/>
      <c r="E24" s="34"/>
      <c r="F24" s="34"/>
      <c r="G24" s="32"/>
    </row>
    <row r="25" spans="1:16" s="28" customFormat="1" ht="15" x14ac:dyDescent="0.3">
      <c r="A25" s="30" t="s">
        <v>34</v>
      </c>
      <c r="B25" s="453">
        <f>SUM(B9,B13,B21,B23)</f>
        <v>11565349297</v>
      </c>
      <c r="C25" s="454">
        <f>SUM(C9,C13,C21,C23)</f>
        <v>1</v>
      </c>
      <c r="D25" s="455"/>
      <c r="E25" s="456">
        <f>B25/D26</f>
        <v>4637.8884177398186</v>
      </c>
      <c r="F25" s="453">
        <v>4761.2905361405428</v>
      </c>
      <c r="G25" s="454">
        <f>(E25-F25)/F25</f>
        <v>-2.5917787932503031E-2</v>
      </c>
    </row>
    <row r="26" spans="1:16" s="28" customFormat="1" ht="15" x14ac:dyDescent="0.3">
      <c r="A26" s="43" t="s">
        <v>391</v>
      </c>
      <c r="B26" s="42"/>
      <c r="C26" s="32"/>
      <c r="D26" s="40">
        <v>2493667</v>
      </c>
      <c r="E26" s="45"/>
      <c r="F26" s="40"/>
      <c r="G26" s="41"/>
    </row>
    <row r="27" spans="1:16" s="28" customFormat="1" ht="15" x14ac:dyDescent="0.3">
      <c r="A27" s="43"/>
      <c r="B27" s="42"/>
      <c r="C27" s="32"/>
      <c r="D27" s="40"/>
      <c r="E27" s="45"/>
      <c r="F27" s="40"/>
      <c r="G27" s="41"/>
    </row>
    <row r="28" spans="1:16" s="49" customFormat="1" ht="15.75" x14ac:dyDescent="0.3">
      <c r="A28" s="46" t="s">
        <v>350</v>
      </c>
      <c r="B28" s="47"/>
      <c r="C28" s="47"/>
      <c r="D28" s="47"/>
      <c r="E28" s="47"/>
      <c r="F28" s="47"/>
      <c r="G28" s="48"/>
    </row>
    <row r="29" spans="1:16" s="49" customFormat="1" ht="15.75" x14ac:dyDescent="0.3">
      <c r="A29" s="46" t="s">
        <v>351</v>
      </c>
      <c r="B29" s="47"/>
      <c r="C29" s="47"/>
      <c r="D29" s="47"/>
      <c r="E29" s="47"/>
      <c r="F29" s="47"/>
      <c r="G29" s="48"/>
    </row>
    <row r="30" spans="1:16" s="220" customFormat="1" ht="15.75" x14ac:dyDescent="0.25">
      <c r="A30" s="425" t="s">
        <v>35</v>
      </c>
      <c r="B30" s="426"/>
      <c r="C30" s="426"/>
      <c r="D30" s="426"/>
      <c r="E30" s="426"/>
      <c r="F30" s="426"/>
      <c r="G30" s="426"/>
      <c r="H30" s="426"/>
      <c r="I30" s="426"/>
      <c r="J30" s="426"/>
      <c r="K30" s="426"/>
      <c r="L30" s="426"/>
      <c r="M30" s="219"/>
      <c r="N30" s="219"/>
      <c r="O30" s="219"/>
      <c r="P30" s="219"/>
    </row>
    <row r="31" spans="1:16" s="49" customFormat="1" ht="15.75" x14ac:dyDescent="0.3">
      <c r="A31" s="46" t="s">
        <v>390</v>
      </c>
      <c r="B31" s="50"/>
      <c r="C31" s="51"/>
      <c r="D31" s="52"/>
      <c r="E31" s="53"/>
      <c r="F31" s="53"/>
      <c r="G31" s="48"/>
    </row>
    <row r="32" spans="1:16" x14ac:dyDescent="0.3">
      <c r="A32" s="54"/>
      <c r="D32" s="56"/>
      <c r="F32" s="57"/>
      <c r="G32" s="58"/>
    </row>
    <row r="33" spans="1:4" x14ac:dyDescent="0.3">
      <c r="B33" s="281"/>
      <c r="C33" s="282"/>
    </row>
    <row r="34" spans="1:4" x14ac:dyDescent="0.3">
      <c r="A34" s="54"/>
      <c r="B34" s="281"/>
      <c r="C34" s="282"/>
      <c r="D34" s="61"/>
    </row>
  </sheetData>
  <mergeCells count="4">
    <mergeCell ref="A1:G1"/>
    <mergeCell ref="A2:G2"/>
    <mergeCell ref="A3:G3"/>
    <mergeCell ref="A4:G4"/>
  </mergeCells>
  <pageMargins left="0.7" right="0.7" top="0.75" bottom="0.75" header="0.3" footer="0.3"/>
  <pageSetup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9"/>
  <sheetViews>
    <sheetView showGridLines="0" zoomScaleNormal="100" workbookViewId="0">
      <pane ySplit="6" topLeftCell="A21" activePane="bottomLeft" state="frozen"/>
      <selection pane="bottomLeft" activeCell="H36" sqref="H36"/>
    </sheetView>
  </sheetViews>
  <sheetFormatPr defaultColWidth="9.140625" defaultRowHeight="15" x14ac:dyDescent="0.25"/>
  <cols>
    <col min="1" max="1" width="45.42578125" style="15" bestFit="1" customWidth="1"/>
    <col min="2" max="2" width="17.140625" style="15" customWidth="1"/>
    <col min="3" max="3" width="16.28515625" style="15" customWidth="1"/>
    <col min="4" max="5" width="16.28515625" style="15" bestFit="1" customWidth="1"/>
    <col min="6" max="6" width="13.7109375" style="15" bestFit="1" customWidth="1"/>
    <col min="7" max="7" width="14.28515625" style="15" customWidth="1"/>
    <col min="8" max="8" width="17.28515625" style="15" customWidth="1"/>
    <col min="9" max="9" width="16.7109375" style="15" customWidth="1"/>
    <col min="10" max="10" width="20.7109375" style="15" customWidth="1"/>
    <col min="11" max="11" width="15.7109375" style="15" customWidth="1"/>
    <col min="12" max="12" width="18.28515625" style="15" bestFit="1" customWidth="1"/>
    <col min="13" max="13" width="19.28515625" style="15" bestFit="1" customWidth="1"/>
    <col min="14" max="15" width="23.28515625" style="15" bestFit="1" customWidth="1"/>
    <col min="16" max="16" width="21.7109375" style="15" bestFit="1" customWidth="1"/>
    <col min="17" max="17" width="18.42578125" style="15" customWidth="1"/>
    <col min="18" max="18" width="10" style="15" bestFit="1" customWidth="1"/>
    <col min="19" max="16384" width="9.140625" style="15"/>
  </cols>
  <sheetData>
    <row r="1" spans="1:18" s="7" customFormat="1" ht="18" x14ac:dyDescent="0.35">
      <c r="A1" s="476" t="s">
        <v>1</v>
      </c>
      <c r="B1" s="476"/>
      <c r="C1" s="476"/>
      <c r="D1" s="476"/>
      <c r="E1" s="476"/>
      <c r="F1" s="476"/>
      <c r="G1" s="476"/>
      <c r="H1" s="476"/>
      <c r="I1" s="476"/>
      <c r="J1" s="476"/>
      <c r="K1" s="476"/>
      <c r="L1" s="476"/>
      <c r="M1" s="476"/>
      <c r="N1" s="476"/>
      <c r="O1" s="476"/>
      <c r="P1" s="476"/>
      <c r="Q1" s="365"/>
    </row>
    <row r="2" spans="1:18" s="7" customFormat="1" ht="18" x14ac:dyDescent="0.35">
      <c r="A2" s="476" t="s">
        <v>2</v>
      </c>
      <c r="B2" s="476"/>
      <c r="C2" s="476"/>
      <c r="D2" s="476"/>
      <c r="E2" s="476"/>
      <c r="F2" s="476"/>
      <c r="G2" s="476"/>
      <c r="H2" s="476"/>
      <c r="I2" s="476"/>
      <c r="J2" s="476"/>
      <c r="K2" s="476"/>
      <c r="L2" s="476"/>
      <c r="M2" s="476"/>
      <c r="N2" s="476"/>
      <c r="O2" s="476"/>
      <c r="P2" s="476"/>
      <c r="Q2" s="365"/>
    </row>
    <row r="3" spans="1:18" s="7" customFormat="1" ht="18" x14ac:dyDescent="0.35">
      <c r="A3" s="477" t="s">
        <v>363</v>
      </c>
      <c r="B3" s="477"/>
      <c r="C3" s="477"/>
      <c r="D3" s="477"/>
      <c r="E3" s="477"/>
      <c r="F3" s="477"/>
      <c r="G3" s="477"/>
      <c r="H3" s="477"/>
      <c r="I3" s="477"/>
      <c r="J3" s="477"/>
      <c r="K3" s="477"/>
      <c r="L3" s="477"/>
      <c r="M3" s="477"/>
      <c r="N3" s="477"/>
      <c r="O3" s="477"/>
      <c r="P3" s="477"/>
      <c r="Q3" s="365"/>
    </row>
    <row r="4" spans="1:18" s="7" customFormat="1" ht="18" x14ac:dyDescent="0.35">
      <c r="A4" s="476" t="s">
        <v>401</v>
      </c>
      <c r="B4" s="476"/>
      <c r="C4" s="476"/>
      <c r="D4" s="476"/>
      <c r="E4" s="476"/>
      <c r="F4" s="476"/>
      <c r="G4" s="476"/>
      <c r="H4" s="476"/>
      <c r="I4" s="476"/>
      <c r="J4" s="476"/>
      <c r="K4" s="476"/>
      <c r="L4" s="476"/>
      <c r="M4" s="476"/>
      <c r="N4" s="476"/>
      <c r="O4" s="476"/>
      <c r="P4" s="476"/>
      <c r="Q4" s="365"/>
    </row>
    <row r="5" spans="1:18" s="287" customFormat="1" ht="16.5" x14ac:dyDescent="0.3">
      <c r="A5" s="283"/>
      <c r="B5" s="284"/>
      <c r="C5" s="285"/>
      <c r="D5" s="286"/>
      <c r="E5" s="286"/>
      <c r="F5" s="286"/>
      <c r="G5" s="286"/>
      <c r="H5" s="286"/>
      <c r="I5" s="286"/>
      <c r="J5" s="286"/>
      <c r="K5" s="286"/>
      <c r="L5" s="286"/>
      <c r="M5" s="286"/>
      <c r="N5" s="286"/>
      <c r="O5" s="286"/>
      <c r="P5" s="286"/>
    </row>
    <row r="6" spans="1:18" s="12" customFormat="1" ht="60" x14ac:dyDescent="0.3">
      <c r="A6" s="8" t="s">
        <v>3</v>
      </c>
      <c r="B6" s="9" t="s">
        <v>4</v>
      </c>
      <c r="C6" s="10" t="s">
        <v>5</v>
      </c>
      <c r="D6" s="11" t="s">
        <v>6</v>
      </c>
      <c r="E6" s="11" t="s">
        <v>7</v>
      </c>
      <c r="F6" s="11" t="s">
        <v>8</v>
      </c>
      <c r="G6" s="11" t="s">
        <v>9</v>
      </c>
      <c r="H6" s="11" t="s">
        <v>10</v>
      </c>
      <c r="I6" s="11" t="s">
        <v>11</v>
      </c>
      <c r="J6" s="11" t="s">
        <v>12</v>
      </c>
      <c r="K6" s="11" t="s">
        <v>13</v>
      </c>
      <c r="L6" s="11" t="s">
        <v>14</v>
      </c>
      <c r="M6" s="11" t="s">
        <v>15</v>
      </c>
      <c r="N6" s="11" t="s">
        <v>19</v>
      </c>
      <c r="O6" s="11" t="s">
        <v>16</v>
      </c>
      <c r="P6" s="11" t="s">
        <v>17</v>
      </c>
      <c r="Q6" s="11" t="s">
        <v>18</v>
      </c>
    </row>
    <row r="7" spans="1:18" s="243" customFormat="1" x14ac:dyDescent="0.3">
      <c r="A7" s="256" t="s">
        <v>171</v>
      </c>
      <c r="B7" s="271">
        <v>1014162316</v>
      </c>
      <c r="C7" s="106">
        <f t="shared" ref="C7:C28" si="0">B7/$B$36</f>
        <v>8.3185950891449395E-2</v>
      </c>
      <c r="D7" s="257">
        <v>9180513</v>
      </c>
      <c r="E7" s="257">
        <v>92806</v>
      </c>
      <c r="F7" s="257">
        <v>18802</v>
      </c>
      <c r="G7" s="257">
        <v>1371788</v>
      </c>
      <c r="H7" s="257">
        <v>447741504</v>
      </c>
      <c r="I7" s="257">
        <v>196420842</v>
      </c>
      <c r="J7" s="257">
        <v>121590530</v>
      </c>
      <c r="K7" s="257">
        <v>9492833</v>
      </c>
      <c r="L7" s="257">
        <v>850383</v>
      </c>
      <c r="M7" s="257">
        <v>0</v>
      </c>
      <c r="N7" s="257">
        <v>189732217</v>
      </c>
      <c r="O7" s="257">
        <v>0</v>
      </c>
      <c r="P7" s="257">
        <v>37273327</v>
      </c>
      <c r="Q7" s="257">
        <v>396771</v>
      </c>
      <c r="R7" s="244"/>
    </row>
    <row r="8" spans="1:18" s="243" customFormat="1" x14ac:dyDescent="0.3">
      <c r="A8" s="256" t="s">
        <v>172</v>
      </c>
      <c r="B8" s="271">
        <v>969307748</v>
      </c>
      <c r="C8" s="106">
        <f t="shared" si="0"/>
        <v>7.9506786489421694E-2</v>
      </c>
      <c r="D8" s="257">
        <v>19586174</v>
      </c>
      <c r="E8" s="257">
        <v>1183757</v>
      </c>
      <c r="F8" s="257">
        <v>0</v>
      </c>
      <c r="G8" s="257">
        <v>1266358</v>
      </c>
      <c r="H8" s="257">
        <v>357676899</v>
      </c>
      <c r="I8" s="257">
        <v>243374572</v>
      </c>
      <c r="J8" s="257">
        <v>152616498</v>
      </c>
      <c r="K8" s="257">
        <v>31314137</v>
      </c>
      <c r="L8" s="257">
        <v>7669370</v>
      </c>
      <c r="M8" s="257">
        <v>109701</v>
      </c>
      <c r="N8" s="257">
        <v>105451201</v>
      </c>
      <c r="O8" s="257">
        <v>36569742</v>
      </c>
      <c r="P8" s="257">
        <v>11921104</v>
      </c>
      <c r="Q8" s="257">
        <v>568235</v>
      </c>
      <c r="R8" s="244"/>
    </row>
    <row r="9" spans="1:18" s="243" customFormat="1" x14ac:dyDescent="0.3">
      <c r="A9" s="256" t="s">
        <v>332</v>
      </c>
      <c r="B9" s="271">
        <v>0</v>
      </c>
      <c r="C9" s="106">
        <f t="shared" si="0"/>
        <v>0</v>
      </c>
      <c r="D9" s="257">
        <v>0</v>
      </c>
      <c r="E9" s="257">
        <v>0</v>
      </c>
      <c r="F9" s="257">
        <v>0</v>
      </c>
      <c r="G9" s="257">
        <v>0</v>
      </c>
      <c r="H9" s="257">
        <v>0</v>
      </c>
      <c r="I9" s="257">
        <v>0</v>
      </c>
      <c r="J9" s="257">
        <v>0</v>
      </c>
      <c r="K9" s="257">
        <v>0</v>
      </c>
      <c r="L9" s="257">
        <v>0</v>
      </c>
      <c r="M9" s="257">
        <v>0</v>
      </c>
      <c r="N9" s="257">
        <v>0</v>
      </c>
      <c r="O9" s="257">
        <v>0</v>
      </c>
      <c r="P9" s="257">
        <v>0</v>
      </c>
      <c r="Q9" s="257">
        <v>0</v>
      </c>
      <c r="R9" s="244"/>
    </row>
    <row r="10" spans="1:18" s="243" customFormat="1" x14ac:dyDescent="0.3">
      <c r="A10" s="256" t="s">
        <v>333</v>
      </c>
      <c r="B10" s="271">
        <v>100598</v>
      </c>
      <c r="C10" s="106">
        <f t="shared" si="0"/>
        <v>8.2514802174704618E-6</v>
      </c>
      <c r="D10" s="257">
        <v>0</v>
      </c>
      <c r="E10" s="257">
        <v>0</v>
      </c>
      <c r="F10" s="257">
        <v>0</v>
      </c>
      <c r="G10" s="257">
        <v>0</v>
      </c>
      <c r="H10" s="257">
        <v>491</v>
      </c>
      <c r="I10" s="257">
        <v>0</v>
      </c>
      <c r="J10" s="257">
        <v>0</v>
      </c>
      <c r="K10" s="257">
        <v>0</v>
      </c>
      <c r="L10" s="257">
        <v>0</v>
      </c>
      <c r="M10" s="257">
        <v>0</v>
      </c>
      <c r="N10" s="257">
        <v>0</v>
      </c>
      <c r="O10" s="257">
        <v>0</v>
      </c>
      <c r="P10" s="257">
        <v>100107</v>
      </c>
      <c r="Q10" s="257">
        <v>0</v>
      </c>
      <c r="R10" s="244"/>
    </row>
    <row r="11" spans="1:18" s="243" customFormat="1" x14ac:dyDescent="0.3">
      <c r="A11" s="256" t="s">
        <v>174</v>
      </c>
      <c r="B11" s="271">
        <v>1243732110</v>
      </c>
      <c r="C11" s="106">
        <f t="shared" si="0"/>
        <v>0.1020162518290403</v>
      </c>
      <c r="D11" s="257">
        <v>38869708</v>
      </c>
      <c r="E11" s="257">
        <v>1268337</v>
      </c>
      <c r="F11" s="257">
        <v>712</v>
      </c>
      <c r="G11" s="257">
        <v>1654929</v>
      </c>
      <c r="H11" s="257">
        <v>350193156</v>
      </c>
      <c r="I11" s="257">
        <v>273433584</v>
      </c>
      <c r="J11" s="257">
        <v>247658481</v>
      </c>
      <c r="K11" s="257">
        <v>57189636</v>
      </c>
      <c r="L11" s="257">
        <v>2548064</v>
      </c>
      <c r="M11" s="257">
        <v>451244</v>
      </c>
      <c r="N11" s="257">
        <v>229143910</v>
      </c>
      <c r="O11" s="257">
        <v>20017613</v>
      </c>
      <c r="P11" s="257">
        <v>20787507</v>
      </c>
      <c r="Q11" s="257">
        <v>515229</v>
      </c>
      <c r="R11" s="244"/>
    </row>
    <row r="12" spans="1:18" s="243" customFormat="1" x14ac:dyDescent="0.3">
      <c r="A12" s="256" t="s">
        <v>175</v>
      </c>
      <c r="B12" s="271">
        <v>140361377</v>
      </c>
      <c r="C12" s="106">
        <f t="shared" si="0"/>
        <v>1.1513043257444615E-2</v>
      </c>
      <c r="D12" s="257">
        <v>3041209</v>
      </c>
      <c r="E12" s="257">
        <v>79595</v>
      </c>
      <c r="F12" s="257">
        <v>0</v>
      </c>
      <c r="G12" s="257">
        <v>369261</v>
      </c>
      <c r="H12" s="257">
        <v>45509949</v>
      </c>
      <c r="I12" s="257">
        <v>26402302</v>
      </c>
      <c r="J12" s="257">
        <v>27159191</v>
      </c>
      <c r="K12" s="257">
        <v>5581101</v>
      </c>
      <c r="L12" s="257">
        <v>80551</v>
      </c>
      <c r="M12" s="257">
        <v>123346</v>
      </c>
      <c r="N12" s="257">
        <v>22132818</v>
      </c>
      <c r="O12" s="257">
        <v>16973</v>
      </c>
      <c r="P12" s="257">
        <v>9814492</v>
      </c>
      <c r="Q12" s="257">
        <v>50589</v>
      </c>
      <c r="R12" s="244"/>
    </row>
    <row r="13" spans="1:18" s="243" customFormat="1" x14ac:dyDescent="0.3">
      <c r="A13" s="256" t="s">
        <v>176</v>
      </c>
      <c r="B13" s="271">
        <v>1273855948</v>
      </c>
      <c r="C13" s="106">
        <f t="shared" si="0"/>
        <v>0.10448713846029822</v>
      </c>
      <c r="D13" s="257">
        <v>1004040899</v>
      </c>
      <c r="E13" s="257">
        <v>9760</v>
      </c>
      <c r="F13" s="257">
        <v>86777</v>
      </c>
      <c r="G13" s="257">
        <v>559039</v>
      </c>
      <c r="H13" s="257">
        <v>267994232</v>
      </c>
      <c r="I13" s="257">
        <v>145692</v>
      </c>
      <c r="J13" s="257">
        <v>0</v>
      </c>
      <c r="K13" s="257">
        <v>0</v>
      </c>
      <c r="L13" s="257">
        <v>0</v>
      </c>
      <c r="M13" s="257">
        <v>0</v>
      </c>
      <c r="N13" s="257">
        <v>0</v>
      </c>
      <c r="O13" s="257">
        <v>0</v>
      </c>
      <c r="P13" s="257">
        <v>1019549</v>
      </c>
      <c r="Q13" s="257">
        <v>0</v>
      </c>
      <c r="R13" s="244"/>
    </row>
    <row r="14" spans="1:18" s="243" customFormat="1" x14ac:dyDescent="0.3">
      <c r="A14" s="256" t="s">
        <v>169</v>
      </c>
      <c r="B14" s="271">
        <v>1630211</v>
      </c>
      <c r="C14" s="106">
        <f t="shared" si="0"/>
        <v>1.3371691104000814E-4</v>
      </c>
      <c r="D14" s="257">
        <v>0</v>
      </c>
      <c r="E14" s="257">
        <v>0</v>
      </c>
      <c r="F14" s="257">
        <v>0</v>
      </c>
      <c r="G14" s="257">
        <v>0</v>
      </c>
      <c r="H14" s="257">
        <v>1222311</v>
      </c>
      <c r="I14" s="257">
        <v>0</v>
      </c>
      <c r="J14" s="257">
        <v>288959</v>
      </c>
      <c r="K14" s="257">
        <v>0</v>
      </c>
      <c r="L14" s="257">
        <v>0</v>
      </c>
      <c r="M14" s="257">
        <v>0</v>
      </c>
      <c r="N14" s="257">
        <v>56517</v>
      </c>
      <c r="O14" s="257">
        <v>0</v>
      </c>
      <c r="P14" s="257">
        <v>62424</v>
      </c>
      <c r="Q14" s="257">
        <v>0</v>
      </c>
      <c r="R14" s="244"/>
    </row>
    <row r="15" spans="1:18" s="243" customFormat="1" x14ac:dyDescent="0.3">
      <c r="A15" s="256" t="s">
        <v>177</v>
      </c>
      <c r="B15" s="257">
        <v>363495772</v>
      </c>
      <c r="C15" s="106">
        <f t="shared" si="0"/>
        <v>2.9815485116922336E-2</v>
      </c>
      <c r="D15" s="257">
        <v>14074185</v>
      </c>
      <c r="E15" s="257">
        <v>323</v>
      </c>
      <c r="F15" s="257">
        <v>0</v>
      </c>
      <c r="G15" s="257">
        <v>238353</v>
      </c>
      <c r="H15" s="257">
        <v>57542178</v>
      </c>
      <c r="I15" s="257">
        <v>43891554</v>
      </c>
      <c r="J15" s="257">
        <v>114897852</v>
      </c>
      <c r="K15" s="257">
        <v>34719459</v>
      </c>
      <c r="L15" s="257">
        <v>125634</v>
      </c>
      <c r="M15" s="257">
        <v>0</v>
      </c>
      <c r="N15" s="257">
        <v>93633070</v>
      </c>
      <c r="O15" s="257">
        <v>0</v>
      </c>
      <c r="P15" s="257">
        <v>4264496</v>
      </c>
      <c r="Q15" s="257">
        <v>108668</v>
      </c>
      <c r="R15" s="244"/>
    </row>
    <row r="16" spans="1:18" s="243" customFormat="1" x14ac:dyDescent="0.3">
      <c r="A16" s="256" t="s">
        <v>178</v>
      </c>
      <c r="B16" s="257">
        <v>1882592655</v>
      </c>
      <c r="C16" s="106">
        <f t="shared" si="0"/>
        <v>0.15441833883663386</v>
      </c>
      <c r="D16" s="257">
        <v>6892704</v>
      </c>
      <c r="E16" s="257">
        <v>45150</v>
      </c>
      <c r="F16" s="257">
        <v>683</v>
      </c>
      <c r="G16" s="257">
        <v>4460065</v>
      </c>
      <c r="H16" s="257">
        <v>1028934978</v>
      </c>
      <c r="I16" s="257">
        <v>301215884</v>
      </c>
      <c r="J16" s="257">
        <v>304079858</v>
      </c>
      <c r="K16" s="257">
        <v>60653211</v>
      </c>
      <c r="L16" s="257">
        <v>2688994</v>
      </c>
      <c r="M16" s="257">
        <v>309621</v>
      </c>
      <c r="N16" s="257">
        <v>162281971</v>
      </c>
      <c r="O16" s="257">
        <v>0</v>
      </c>
      <c r="P16" s="257">
        <v>10493598</v>
      </c>
      <c r="Q16" s="257">
        <v>535938</v>
      </c>
      <c r="R16" s="244"/>
    </row>
    <row r="17" spans="1:18" s="243" customFormat="1" x14ac:dyDescent="0.3">
      <c r="A17" s="256" t="s">
        <v>179</v>
      </c>
      <c r="B17" s="257">
        <v>471402487</v>
      </c>
      <c r="C17" s="106">
        <f t="shared" si="0"/>
        <v>3.8666457543359477E-2</v>
      </c>
      <c r="D17" s="257">
        <v>39857999</v>
      </c>
      <c r="E17" s="257">
        <v>253662</v>
      </c>
      <c r="F17" s="257">
        <v>5381</v>
      </c>
      <c r="G17" s="257">
        <v>1454273</v>
      </c>
      <c r="H17" s="257">
        <v>357352873</v>
      </c>
      <c r="I17" s="257">
        <v>19991962</v>
      </c>
      <c r="J17" s="257">
        <v>26274491</v>
      </c>
      <c r="K17" s="257">
        <v>5220458</v>
      </c>
      <c r="L17" s="257">
        <v>304154</v>
      </c>
      <c r="M17" s="257">
        <v>413</v>
      </c>
      <c r="N17" s="257">
        <v>19477157</v>
      </c>
      <c r="O17" s="257">
        <v>0</v>
      </c>
      <c r="P17" s="257">
        <v>1147884</v>
      </c>
      <c r="Q17" s="257">
        <v>61780</v>
      </c>
      <c r="R17" s="244"/>
    </row>
    <row r="18" spans="1:18" s="243" customFormat="1" x14ac:dyDescent="0.3">
      <c r="A18" s="256" t="s">
        <v>180</v>
      </c>
      <c r="B18" s="257">
        <v>253667214</v>
      </c>
      <c r="C18" s="106">
        <f t="shared" si="0"/>
        <v>2.0806874869697668E-2</v>
      </c>
      <c r="D18" s="257">
        <v>136666015</v>
      </c>
      <c r="E18" s="257">
        <v>5623</v>
      </c>
      <c r="F18" s="257">
        <v>1302</v>
      </c>
      <c r="G18" s="257">
        <v>1201704</v>
      </c>
      <c r="H18" s="257">
        <v>115630831</v>
      </c>
      <c r="I18" s="257">
        <v>0</v>
      </c>
      <c r="J18" s="257">
        <v>0</v>
      </c>
      <c r="K18" s="257">
        <v>0</v>
      </c>
      <c r="L18" s="257">
        <v>0</v>
      </c>
      <c r="M18" s="257">
        <v>0</v>
      </c>
      <c r="N18" s="257">
        <v>0</v>
      </c>
      <c r="O18" s="257">
        <v>0</v>
      </c>
      <c r="P18" s="257">
        <v>161739</v>
      </c>
      <c r="Q18" s="257">
        <v>0</v>
      </c>
      <c r="R18" s="244"/>
    </row>
    <row r="19" spans="1:18" s="243" customFormat="1" x14ac:dyDescent="0.3">
      <c r="A19" s="256" t="s">
        <v>334</v>
      </c>
      <c r="B19" s="257">
        <v>166293</v>
      </c>
      <c r="C19" s="106">
        <f t="shared" si="0"/>
        <v>1.3640066400960412E-5</v>
      </c>
      <c r="D19" s="257">
        <v>7620</v>
      </c>
      <c r="E19" s="257">
        <v>0</v>
      </c>
      <c r="F19" s="257">
        <v>0</v>
      </c>
      <c r="G19" s="257">
        <v>0</v>
      </c>
      <c r="H19" s="257">
        <v>158673</v>
      </c>
      <c r="I19" s="257">
        <v>0</v>
      </c>
      <c r="J19" s="257">
        <v>0</v>
      </c>
      <c r="K19" s="257">
        <v>0</v>
      </c>
      <c r="L19" s="257">
        <v>0</v>
      </c>
      <c r="M19" s="257">
        <v>0</v>
      </c>
      <c r="N19" s="257">
        <v>0</v>
      </c>
      <c r="O19" s="257">
        <v>0</v>
      </c>
      <c r="P19" s="257">
        <v>0</v>
      </c>
      <c r="Q19" s="257">
        <v>0</v>
      </c>
      <c r="R19" s="244"/>
    </row>
    <row r="20" spans="1:18" s="243" customFormat="1" x14ac:dyDescent="0.3">
      <c r="A20" s="256" t="s">
        <v>182</v>
      </c>
      <c r="B20" s="257">
        <v>54747822</v>
      </c>
      <c r="C20" s="106">
        <f t="shared" si="0"/>
        <v>4.4906516052266856E-3</v>
      </c>
      <c r="D20" s="257">
        <v>0</v>
      </c>
      <c r="E20" s="257">
        <v>0</v>
      </c>
      <c r="F20" s="257">
        <v>0</v>
      </c>
      <c r="G20" s="257">
        <v>250834</v>
      </c>
      <c r="H20" s="257">
        <v>53345759</v>
      </c>
      <c r="I20" s="257">
        <v>0</v>
      </c>
      <c r="J20" s="257">
        <v>945669</v>
      </c>
      <c r="K20" s="257">
        <v>0</v>
      </c>
      <c r="L20" s="257">
        <v>0</v>
      </c>
      <c r="M20" s="257">
        <v>0</v>
      </c>
      <c r="N20" s="257">
        <v>552</v>
      </c>
      <c r="O20" s="257">
        <v>0</v>
      </c>
      <c r="P20" s="257">
        <v>205008</v>
      </c>
      <c r="Q20" s="257">
        <v>0</v>
      </c>
      <c r="R20" s="244"/>
    </row>
    <row r="21" spans="1:18" s="243" customFormat="1" x14ac:dyDescent="0.3">
      <c r="A21" s="256" t="s">
        <v>183</v>
      </c>
      <c r="B21" s="257">
        <v>453282960</v>
      </c>
      <c r="C21" s="106">
        <f t="shared" si="0"/>
        <v>3.7180216081397786E-2</v>
      </c>
      <c r="D21" s="257">
        <v>240669262</v>
      </c>
      <c r="E21" s="257">
        <v>0</v>
      </c>
      <c r="F21" s="257">
        <v>0</v>
      </c>
      <c r="G21" s="257">
        <v>1426060</v>
      </c>
      <c r="H21" s="257">
        <v>206353959</v>
      </c>
      <c r="I21" s="257">
        <v>3564155</v>
      </c>
      <c r="J21" s="257">
        <v>534975</v>
      </c>
      <c r="K21" s="257">
        <v>30832</v>
      </c>
      <c r="L21" s="257">
        <v>52780</v>
      </c>
      <c r="M21" s="257">
        <v>0</v>
      </c>
      <c r="N21" s="257">
        <v>78696</v>
      </c>
      <c r="O21" s="257">
        <v>0</v>
      </c>
      <c r="P21" s="257">
        <v>563583</v>
      </c>
      <c r="Q21" s="257">
        <v>8658</v>
      </c>
      <c r="R21" s="244"/>
    </row>
    <row r="22" spans="1:18" s="243" customFormat="1" x14ac:dyDescent="0.3">
      <c r="A22" s="256" t="s">
        <v>184</v>
      </c>
      <c r="B22" s="257">
        <v>75961979</v>
      </c>
      <c r="C22" s="106">
        <f t="shared" si="0"/>
        <v>6.2307279170401662E-3</v>
      </c>
      <c r="D22" s="257">
        <v>52662459</v>
      </c>
      <c r="E22" s="257">
        <v>0</v>
      </c>
      <c r="F22" s="257">
        <v>0</v>
      </c>
      <c r="G22" s="257">
        <v>47515</v>
      </c>
      <c r="H22" s="257">
        <v>21878838</v>
      </c>
      <c r="I22" s="257">
        <v>494871</v>
      </c>
      <c r="J22" s="257">
        <v>158077</v>
      </c>
      <c r="K22" s="257">
        <v>45987</v>
      </c>
      <c r="L22" s="257">
        <v>48517</v>
      </c>
      <c r="M22" s="257">
        <v>0</v>
      </c>
      <c r="N22" s="257">
        <v>210516</v>
      </c>
      <c r="O22" s="257">
        <v>0</v>
      </c>
      <c r="P22" s="257">
        <v>415199</v>
      </c>
      <c r="Q22" s="257">
        <v>0</v>
      </c>
      <c r="R22" s="244"/>
    </row>
    <row r="23" spans="1:18" s="243" customFormat="1" x14ac:dyDescent="0.3">
      <c r="A23" s="256" t="s">
        <v>185</v>
      </c>
      <c r="B23" s="271">
        <v>89091037</v>
      </c>
      <c r="C23" s="106">
        <f t="shared" si="0"/>
        <v>7.3076296681785814E-3</v>
      </c>
      <c r="D23" s="257">
        <v>43719</v>
      </c>
      <c r="E23" s="257">
        <v>141</v>
      </c>
      <c r="F23" s="257">
        <v>0</v>
      </c>
      <c r="G23" s="257">
        <v>8980</v>
      </c>
      <c r="H23" s="257">
        <v>3067322</v>
      </c>
      <c r="I23" s="257">
        <v>767497</v>
      </c>
      <c r="J23" s="257">
        <v>33707718</v>
      </c>
      <c r="K23" s="257">
        <v>7915329</v>
      </c>
      <c r="L23" s="257">
        <v>487</v>
      </c>
      <c r="M23" s="257">
        <v>3022</v>
      </c>
      <c r="N23" s="257">
        <v>43180972</v>
      </c>
      <c r="O23" s="257">
        <v>0</v>
      </c>
      <c r="P23" s="257">
        <v>395371</v>
      </c>
      <c r="Q23" s="257">
        <v>479</v>
      </c>
      <c r="R23" s="244"/>
    </row>
    <row r="24" spans="1:18" s="243" customFormat="1" x14ac:dyDescent="0.3">
      <c r="A24" s="256" t="s">
        <v>186</v>
      </c>
      <c r="B24" s="271">
        <v>116515086</v>
      </c>
      <c r="C24" s="106">
        <f t="shared" si="0"/>
        <v>9.5570680049888619E-3</v>
      </c>
      <c r="D24" s="257">
        <v>431725</v>
      </c>
      <c r="E24" s="257">
        <v>5970</v>
      </c>
      <c r="F24" s="257">
        <v>0</v>
      </c>
      <c r="G24" s="257">
        <v>115732</v>
      </c>
      <c r="H24" s="257">
        <v>31422706</v>
      </c>
      <c r="I24" s="257">
        <v>56675617</v>
      </c>
      <c r="J24" s="257">
        <v>15647118</v>
      </c>
      <c r="K24" s="257">
        <v>2576088</v>
      </c>
      <c r="L24" s="257">
        <v>80893</v>
      </c>
      <c r="M24" s="257">
        <v>236598</v>
      </c>
      <c r="N24" s="257">
        <v>7706484</v>
      </c>
      <c r="O24" s="257">
        <v>1692</v>
      </c>
      <c r="P24" s="257">
        <v>1467713</v>
      </c>
      <c r="Q24" s="257">
        <v>146750</v>
      </c>
      <c r="R24" s="244"/>
    </row>
    <row r="25" spans="1:18" s="243" customFormat="1" x14ac:dyDescent="0.3">
      <c r="A25" s="256" t="s">
        <v>335</v>
      </c>
      <c r="B25" s="271">
        <v>63446</v>
      </c>
      <c r="C25" s="106">
        <f t="shared" si="0"/>
        <v>5.2041135398082557E-6</v>
      </c>
      <c r="D25" s="257">
        <v>0</v>
      </c>
      <c r="E25" s="257">
        <v>0</v>
      </c>
      <c r="F25" s="257">
        <v>0</v>
      </c>
      <c r="G25" s="257">
        <v>0</v>
      </c>
      <c r="H25" s="257">
        <v>-48</v>
      </c>
      <c r="I25" s="257">
        <v>0</v>
      </c>
      <c r="J25" s="257">
        <v>0</v>
      </c>
      <c r="K25" s="257">
        <v>0</v>
      </c>
      <c r="L25" s="257">
        <v>0</v>
      </c>
      <c r="M25" s="257">
        <v>0</v>
      </c>
      <c r="N25" s="257">
        <v>0</v>
      </c>
      <c r="O25" s="257">
        <v>0</v>
      </c>
      <c r="P25" s="257">
        <v>63494</v>
      </c>
      <c r="Q25" s="257">
        <v>0</v>
      </c>
      <c r="R25" s="244"/>
    </row>
    <row r="26" spans="1:18" s="243" customFormat="1" x14ac:dyDescent="0.3">
      <c r="A26" s="256" t="s">
        <v>336</v>
      </c>
      <c r="B26" s="257">
        <v>141726282</v>
      </c>
      <c r="C26" s="106">
        <f t="shared" si="0"/>
        <v>1.1624998630376747E-2</v>
      </c>
      <c r="D26" s="257">
        <v>257004</v>
      </c>
      <c r="E26" s="257">
        <v>23635</v>
      </c>
      <c r="F26" s="257">
        <v>0</v>
      </c>
      <c r="G26" s="257">
        <v>129825</v>
      </c>
      <c r="H26" s="257">
        <v>36046396</v>
      </c>
      <c r="I26" s="257">
        <v>218664</v>
      </c>
      <c r="J26" s="257">
        <v>49124529</v>
      </c>
      <c r="K26" s="257">
        <v>14923768</v>
      </c>
      <c r="L26" s="257">
        <v>1465</v>
      </c>
      <c r="M26" s="257">
        <v>0</v>
      </c>
      <c r="N26" s="257">
        <v>39152311</v>
      </c>
      <c r="O26" s="257">
        <v>0</v>
      </c>
      <c r="P26" s="257">
        <v>1848268</v>
      </c>
      <c r="Q26" s="257">
        <v>417</v>
      </c>
      <c r="R26" s="244"/>
    </row>
    <row r="27" spans="1:18" s="243" customFormat="1" x14ac:dyDescent="0.3">
      <c r="A27" s="256" t="s">
        <v>337</v>
      </c>
      <c r="B27" s="261">
        <v>212617657</v>
      </c>
      <c r="C27" s="108">
        <f t="shared" si="0"/>
        <v>1.7439813819563211E-2</v>
      </c>
      <c r="D27" s="261">
        <v>25750652</v>
      </c>
      <c r="E27" s="261">
        <v>38640</v>
      </c>
      <c r="F27" s="261">
        <v>0</v>
      </c>
      <c r="G27" s="261">
        <v>394084</v>
      </c>
      <c r="H27" s="261">
        <v>73462318</v>
      </c>
      <c r="I27" s="261">
        <v>36967203</v>
      </c>
      <c r="J27" s="261">
        <v>34367201</v>
      </c>
      <c r="K27" s="261">
        <v>7376565</v>
      </c>
      <c r="L27" s="261">
        <v>64912</v>
      </c>
      <c r="M27" s="261">
        <v>11585423</v>
      </c>
      <c r="N27" s="261">
        <v>19811369</v>
      </c>
      <c r="O27" s="261">
        <v>0</v>
      </c>
      <c r="P27" s="261">
        <v>2691024</v>
      </c>
      <c r="Q27" s="261">
        <v>108266</v>
      </c>
      <c r="R27" s="244"/>
    </row>
    <row r="28" spans="1:18" s="73" customFormat="1" x14ac:dyDescent="0.3">
      <c r="A28" s="98" t="s">
        <v>0</v>
      </c>
      <c r="B28" s="246">
        <f>SUM(B7:B27)</f>
        <v>8758480998</v>
      </c>
      <c r="C28" s="107">
        <f t="shared" si="0"/>
        <v>0.71840824559223782</v>
      </c>
      <c r="D28" s="246">
        <f>SUM(D7:D27)</f>
        <v>1592031847</v>
      </c>
      <c r="E28" s="246">
        <f t="shared" ref="E28:Q28" si="1">SUM(E7:E27)</f>
        <v>3007399</v>
      </c>
      <c r="F28" s="246">
        <f t="shared" si="1"/>
        <v>113657</v>
      </c>
      <c r="G28" s="246">
        <f t="shared" si="1"/>
        <v>14948800</v>
      </c>
      <c r="H28" s="246">
        <f t="shared" si="1"/>
        <v>3455535325</v>
      </c>
      <c r="I28" s="246">
        <f t="shared" si="1"/>
        <v>1203564399</v>
      </c>
      <c r="J28" s="246">
        <f t="shared" si="1"/>
        <v>1129051147</v>
      </c>
      <c r="K28" s="246">
        <f t="shared" si="1"/>
        <v>237039404</v>
      </c>
      <c r="L28" s="246">
        <f t="shared" si="1"/>
        <v>14516204</v>
      </c>
      <c r="M28" s="246">
        <f t="shared" si="1"/>
        <v>12819368</v>
      </c>
      <c r="N28" s="246">
        <f t="shared" si="1"/>
        <v>932049761</v>
      </c>
      <c r="O28" s="246">
        <f t="shared" si="1"/>
        <v>56606020</v>
      </c>
      <c r="P28" s="246">
        <f t="shared" si="1"/>
        <v>104695887</v>
      </c>
      <c r="Q28" s="246">
        <f t="shared" si="1"/>
        <v>2501780</v>
      </c>
      <c r="R28" s="241"/>
    </row>
    <row r="29" spans="1:18" s="243" customFormat="1" ht="15.75" x14ac:dyDescent="0.3">
      <c r="A29" s="98"/>
      <c r="B29" s="13"/>
      <c r="C29" s="107"/>
      <c r="D29" s="269"/>
      <c r="E29" s="269"/>
      <c r="F29" s="269"/>
      <c r="G29" s="269"/>
      <c r="H29" s="239"/>
      <c r="I29" s="269"/>
      <c r="J29" s="269"/>
      <c r="K29" s="269"/>
      <c r="L29" s="269"/>
      <c r="M29" s="269"/>
      <c r="N29" s="269"/>
      <c r="O29" s="269"/>
      <c r="P29" s="269"/>
      <c r="Q29" s="244"/>
      <c r="R29" s="244"/>
    </row>
    <row r="30" spans="1:18" s="101" customFormat="1" x14ac:dyDescent="0.3">
      <c r="A30" s="99" t="s">
        <v>148</v>
      </c>
      <c r="B30" s="288"/>
      <c r="C30" s="107"/>
      <c r="D30" s="289"/>
      <c r="E30" s="290"/>
      <c r="F30" s="291"/>
      <c r="G30" s="290"/>
      <c r="H30" s="290"/>
      <c r="I30" s="290"/>
      <c r="J30" s="290"/>
      <c r="K30" s="290"/>
      <c r="L30" s="290"/>
      <c r="M30" s="290"/>
      <c r="N30" s="290"/>
      <c r="O30" s="290"/>
      <c r="P30" s="290"/>
    </row>
    <row r="31" spans="1:18" s="101" customFormat="1" x14ac:dyDescent="0.3">
      <c r="A31" s="100" t="s">
        <v>149</v>
      </c>
      <c r="B31" s="271">
        <v>41708205</v>
      </c>
      <c r="C31" s="106">
        <f>B31/$B$36</f>
        <v>3.4210861892254576E-3</v>
      </c>
      <c r="D31" s="271">
        <v>39770898</v>
      </c>
      <c r="E31" s="271">
        <v>110751</v>
      </c>
      <c r="F31" s="271">
        <v>53168</v>
      </c>
      <c r="G31" s="271">
        <v>211565</v>
      </c>
      <c r="H31" s="271">
        <v>612098</v>
      </c>
      <c r="I31" s="271">
        <v>9974</v>
      </c>
      <c r="J31" s="271">
        <v>0</v>
      </c>
      <c r="K31" s="271">
        <v>0</v>
      </c>
      <c r="L31" s="271">
        <v>0</v>
      </c>
      <c r="M31" s="271">
        <v>0</v>
      </c>
      <c r="N31" s="271">
        <v>0</v>
      </c>
      <c r="O31" s="271">
        <v>0</v>
      </c>
      <c r="P31" s="271">
        <v>72744</v>
      </c>
      <c r="Q31" s="271">
        <v>867007</v>
      </c>
    </row>
    <row r="32" spans="1:18" s="101" customFormat="1" x14ac:dyDescent="0.3">
      <c r="A32" s="100" t="s">
        <v>150</v>
      </c>
      <c r="B32" s="271">
        <v>514818787.39999998</v>
      </c>
      <c r="C32" s="106">
        <f>B32/$B$36</f>
        <v>4.2227649056772808E-2</v>
      </c>
      <c r="D32" s="271">
        <v>188835669</v>
      </c>
      <c r="E32" s="271">
        <v>9025190</v>
      </c>
      <c r="F32" s="271">
        <v>105597547</v>
      </c>
      <c r="G32" s="271">
        <v>1163790</v>
      </c>
      <c r="H32" s="271">
        <v>204271695</v>
      </c>
      <c r="I32" s="271">
        <v>3701094</v>
      </c>
      <c r="J32" s="292">
        <v>63248</v>
      </c>
      <c r="K32" s="292">
        <v>2010</v>
      </c>
      <c r="L32" s="271">
        <v>10050</v>
      </c>
      <c r="M32" s="271">
        <v>274983</v>
      </c>
      <c r="N32" s="271">
        <v>11658</v>
      </c>
      <c r="O32" s="271">
        <v>0</v>
      </c>
      <c r="P32" s="271">
        <v>1306261</v>
      </c>
      <c r="Q32" s="271">
        <v>555592</v>
      </c>
    </row>
    <row r="33" spans="1:18" s="243" customFormat="1" x14ac:dyDescent="0.3">
      <c r="A33" s="256" t="s">
        <v>377</v>
      </c>
      <c r="B33" s="261">
        <v>2876501575</v>
      </c>
      <c r="C33" s="108">
        <f>B33/$B$36</f>
        <v>0.23594301916176391</v>
      </c>
      <c r="D33" s="261">
        <v>197520662</v>
      </c>
      <c r="E33" s="261">
        <v>204482</v>
      </c>
      <c r="F33" s="261">
        <v>317409</v>
      </c>
      <c r="G33" s="261">
        <v>10424543</v>
      </c>
      <c r="H33" s="261">
        <v>1945701332</v>
      </c>
      <c r="I33" s="261">
        <v>122352048</v>
      </c>
      <c r="J33" s="261">
        <v>395353570</v>
      </c>
      <c r="K33" s="261">
        <v>55018930</v>
      </c>
      <c r="L33" s="261">
        <v>262812</v>
      </c>
      <c r="M33" s="261">
        <v>0</v>
      </c>
      <c r="N33" s="261">
        <v>142011922</v>
      </c>
      <c r="O33" s="261">
        <v>0</v>
      </c>
      <c r="P33" s="261">
        <v>1082761</v>
      </c>
      <c r="Q33" s="261">
        <v>6251103</v>
      </c>
      <c r="R33" s="244"/>
    </row>
    <row r="34" spans="1:18" s="294" customFormat="1" x14ac:dyDescent="0.3">
      <c r="A34" s="98" t="s">
        <v>151</v>
      </c>
      <c r="B34" s="293">
        <f>SUM(B31:B33)</f>
        <v>3433028567.4000001</v>
      </c>
      <c r="C34" s="107">
        <f>B34/$B$36</f>
        <v>0.28159175440776218</v>
      </c>
      <c r="D34" s="293">
        <f t="shared" ref="D34:Q34" si="2">SUM(D31:D33)</f>
        <v>426127229</v>
      </c>
      <c r="E34" s="293">
        <f t="shared" si="2"/>
        <v>9340423</v>
      </c>
      <c r="F34" s="293">
        <f t="shared" si="2"/>
        <v>105968124</v>
      </c>
      <c r="G34" s="293">
        <f t="shared" si="2"/>
        <v>11799898</v>
      </c>
      <c r="H34" s="293">
        <f t="shared" si="2"/>
        <v>2150585125</v>
      </c>
      <c r="I34" s="293">
        <f>SUM(I31:I33)</f>
        <v>126063116</v>
      </c>
      <c r="J34" s="293">
        <f t="shared" si="2"/>
        <v>395416818</v>
      </c>
      <c r="K34" s="293">
        <f t="shared" si="2"/>
        <v>55020940</v>
      </c>
      <c r="L34" s="293">
        <f t="shared" si="2"/>
        <v>272862</v>
      </c>
      <c r="M34" s="293">
        <f t="shared" si="2"/>
        <v>274983</v>
      </c>
      <c r="N34" s="293">
        <f t="shared" si="2"/>
        <v>142023580</v>
      </c>
      <c r="O34" s="293">
        <f t="shared" si="2"/>
        <v>0</v>
      </c>
      <c r="P34" s="293">
        <f t="shared" si="2"/>
        <v>2461766</v>
      </c>
      <c r="Q34" s="293">
        <f t="shared" si="2"/>
        <v>7673702</v>
      </c>
    </row>
    <row r="35" spans="1:18" s="101" customFormat="1" ht="15.75" x14ac:dyDescent="0.3">
      <c r="B35" s="13"/>
      <c r="C35" s="107"/>
      <c r="D35" s="292"/>
      <c r="E35" s="271"/>
      <c r="F35" s="271"/>
      <c r="G35" s="271"/>
      <c r="H35" s="271"/>
      <c r="I35" s="271"/>
      <c r="J35" s="271"/>
      <c r="K35" s="271"/>
      <c r="L35" s="271"/>
      <c r="M35" s="271"/>
      <c r="N35" s="271"/>
      <c r="O35" s="271"/>
      <c r="P35" s="271"/>
      <c r="Q35" s="295"/>
    </row>
    <row r="36" spans="1:18" s="294" customFormat="1" x14ac:dyDescent="0.3">
      <c r="A36" s="102" t="s">
        <v>152</v>
      </c>
      <c r="B36" s="288">
        <f>B28+B34</f>
        <v>12191509565.4</v>
      </c>
      <c r="C36" s="107">
        <f>B36/$B$36</f>
        <v>1</v>
      </c>
      <c r="D36" s="288">
        <f t="shared" ref="D36:Q36" si="3">D28+D34</f>
        <v>2018159076</v>
      </c>
      <c r="E36" s="288">
        <f t="shared" si="3"/>
        <v>12347822</v>
      </c>
      <c r="F36" s="288">
        <f t="shared" si="3"/>
        <v>106081781</v>
      </c>
      <c r="G36" s="288">
        <f t="shared" si="3"/>
        <v>26748698</v>
      </c>
      <c r="H36" s="288">
        <f t="shared" si="3"/>
        <v>5606120450</v>
      </c>
      <c r="I36" s="288">
        <f t="shared" si="3"/>
        <v>1329627515</v>
      </c>
      <c r="J36" s="288">
        <f t="shared" si="3"/>
        <v>1524467965</v>
      </c>
      <c r="K36" s="288">
        <f t="shared" si="3"/>
        <v>292060344</v>
      </c>
      <c r="L36" s="288">
        <f t="shared" si="3"/>
        <v>14789066</v>
      </c>
      <c r="M36" s="288">
        <f t="shared" si="3"/>
        <v>13094351</v>
      </c>
      <c r="N36" s="288">
        <f t="shared" si="3"/>
        <v>1074073341</v>
      </c>
      <c r="O36" s="288">
        <f t="shared" si="3"/>
        <v>56606020</v>
      </c>
      <c r="P36" s="288">
        <f t="shared" si="3"/>
        <v>107157653</v>
      </c>
      <c r="Q36" s="288">
        <f t="shared" si="3"/>
        <v>10175482</v>
      </c>
    </row>
    <row r="37" spans="1:18" x14ac:dyDescent="0.25">
      <c r="B37" s="13"/>
      <c r="C37" s="13"/>
      <c r="D37" s="13"/>
      <c r="E37" s="13"/>
      <c r="F37" s="13"/>
      <c r="G37" s="13"/>
      <c r="H37" s="13"/>
      <c r="I37" s="13"/>
      <c r="J37" s="13"/>
      <c r="K37" s="13"/>
      <c r="L37" s="13"/>
      <c r="M37" s="13"/>
      <c r="N37" s="13"/>
      <c r="O37" s="13"/>
      <c r="P37" s="13"/>
      <c r="Q37" s="13"/>
    </row>
    <row r="38" spans="1:18" s="105" customFormat="1" ht="15.75" x14ac:dyDescent="0.3">
      <c r="A38" s="102" t="s">
        <v>349</v>
      </c>
      <c r="B38" s="288">
        <f>B28+B33</f>
        <v>11634982573</v>
      </c>
      <c r="D38" s="288">
        <f t="shared" ref="D38:Q38" si="4">D28+D33</f>
        <v>1789552509</v>
      </c>
      <c r="E38" s="288">
        <f t="shared" si="4"/>
        <v>3211881</v>
      </c>
      <c r="F38" s="288">
        <f t="shared" si="4"/>
        <v>431066</v>
      </c>
      <c r="G38" s="288">
        <f t="shared" si="4"/>
        <v>25373343</v>
      </c>
      <c r="H38" s="288">
        <f t="shared" si="4"/>
        <v>5401236657</v>
      </c>
      <c r="I38" s="288">
        <f>I28+I33</f>
        <v>1325916447</v>
      </c>
      <c r="J38" s="288">
        <f t="shared" si="4"/>
        <v>1524404717</v>
      </c>
      <c r="K38" s="288">
        <f t="shared" si="4"/>
        <v>292058334</v>
      </c>
      <c r="L38" s="288">
        <f t="shared" si="4"/>
        <v>14779016</v>
      </c>
      <c r="M38" s="288">
        <f t="shared" si="4"/>
        <v>12819368</v>
      </c>
      <c r="N38" s="288">
        <f t="shared" si="4"/>
        <v>1074061683</v>
      </c>
      <c r="O38" s="288">
        <f t="shared" si="4"/>
        <v>56606020</v>
      </c>
      <c r="P38" s="288">
        <f t="shared" si="4"/>
        <v>105778648</v>
      </c>
      <c r="Q38" s="288">
        <f t="shared" si="4"/>
        <v>8752883</v>
      </c>
    </row>
    <row r="39" spans="1:18" x14ac:dyDescent="0.25">
      <c r="B39" s="103"/>
      <c r="D39" s="103"/>
    </row>
    <row r="40" spans="1:18" s="76" customFormat="1" ht="13.5" x14ac:dyDescent="0.3">
      <c r="A40" s="109" t="s">
        <v>352</v>
      </c>
      <c r="B40" s="110"/>
      <c r="D40" s="111"/>
      <c r="E40" s="111"/>
      <c r="F40" s="111"/>
      <c r="G40" s="111"/>
      <c r="H40" s="111"/>
      <c r="I40" s="111"/>
      <c r="J40" s="111"/>
      <c r="K40" s="111"/>
      <c r="L40" s="111"/>
      <c r="M40" s="111"/>
      <c r="N40" s="111"/>
      <c r="O40" s="111"/>
      <c r="P40" s="111"/>
    </row>
    <row r="41" spans="1:18" s="76" customFormat="1" ht="13.5" x14ac:dyDescent="0.3">
      <c r="A41" s="109" t="s">
        <v>159</v>
      </c>
      <c r="B41" s="110"/>
      <c r="D41" s="111"/>
      <c r="E41" s="111"/>
      <c r="F41" s="111"/>
      <c r="G41" s="111"/>
      <c r="H41" s="111"/>
      <c r="I41" s="111"/>
      <c r="J41" s="111"/>
      <c r="K41" s="111"/>
      <c r="L41" s="111"/>
      <c r="M41" s="111"/>
      <c r="N41" s="111"/>
      <c r="O41" s="111"/>
      <c r="P41" s="111"/>
    </row>
    <row r="42" spans="1:18" s="118" customFormat="1" ht="13.5" x14ac:dyDescent="0.3">
      <c r="A42" s="112" t="s">
        <v>393</v>
      </c>
      <c r="B42" s="113"/>
      <c r="C42" s="114"/>
      <c r="D42" s="115"/>
      <c r="E42" s="115"/>
      <c r="F42" s="115"/>
      <c r="G42" s="115"/>
      <c r="H42" s="115"/>
      <c r="I42" s="115"/>
      <c r="J42" s="115"/>
      <c r="K42" s="116"/>
      <c r="L42" s="116"/>
      <c r="M42" s="116"/>
      <c r="N42" s="117"/>
      <c r="O42" s="117"/>
      <c r="P42" s="117"/>
    </row>
    <row r="43" spans="1:18" s="118" customFormat="1" ht="13.5" x14ac:dyDescent="0.3">
      <c r="A43" s="112" t="s">
        <v>160</v>
      </c>
      <c r="B43" s="113"/>
      <c r="C43" s="114"/>
      <c r="D43" s="115"/>
      <c r="E43" s="115"/>
      <c r="F43" s="115"/>
      <c r="G43" s="115"/>
      <c r="H43" s="115"/>
      <c r="I43" s="115"/>
      <c r="J43" s="115"/>
      <c r="K43" s="116"/>
      <c r="L43" s="116"/>
      <c r="M43" s="116"/>
      <c r="N43" s="117"/>
      <c r="O43" s="117"/>
      <c r="P43" s="117"/>
    </row>
    <row r="44" spans="1:18" s="118" customFormat="1" ht="13.5" x14ac:dyDescent="0.3">
      <c r="A44" s="112" t="s">
        <v>161</v>
      </c>
      <c r="B44" s="113"/>
      <c r="C44" s="114"/>
      <c r="D44" s="115"/>
      <c r="E44" s="115"/>
      <c r="F44" s="115"/>
      <c r="G44" s="115"/>
      <c r="H44" s="115"/>
      <c r="I44" s="119"/>
      <c r="J44" s="119"/>
      <c r="K44" s="116"/>
      <c r="L44" s="116"/>
      <c r="M44" s="116"/>
      <c r="N44" s="117"/>
      <c r="O44" s="117"/>
      <c r="P44" s="117"/>
    </row>
    <row r="45" spans="1:18" s="118" customFormat="1" ht="13.5" x14ac:dyDescent="0.3">
      <c r="A45" s="112" t="s">
        <v>338</v>
      </c>
      <c r="B45" s="113"/>
      <c r="C45" s="114"/>
      <c r="D45" s="115"/>
      <c r="E45" s="115"/>
      <c r="F45" s="115"/>
      <c r="G45" s="115"/>
      <c r="H45" s="115"/>
      <c r="I45" s="119"/>
      <c r="J45" s="119"/>
      <c r="K45" s="116"/>
      <c r="L45" s="116"/>
      <c r="M45" s="116"/>
      <c r="N45" s="117"/>
      <c r="O45" s="117"/>
      <c r="P45" s="117"/>
    </row>
    <row r="46" spans="1:18" s="118" customFormat="1" ht="33.75" customHeight="1" x14ac:dyDescent="0.3">
      <c r="A46" s="474" t="s">
        <v>379</v>
      </c>
      <c r="B46" s="475"/>
      <c r="C46" s="475"/>
      <c r="D46" s="475"/>
      <c r="E46" s="475"/>
      <c r="F46" s="475"/>
      <c r="G46" s="475"/>
      <c r="H46" s="475"/>
      <c r="I46" s="475"/>
      <c r="J46" s="475"/>
      <c r="K46" s="475"/>
      <c r="L46" s="475"/>
      <c r="M46" s="475"/>
      <c r="N46" s="117"/>
      <c r="O46" s="117"/>
      <c r="P46" s="117"/>
    </row>
    <row r="47" spans="1:18" s="118" customFormat="1" ht="12" customHeight="1" x14ac:dyDescent="0.3">
      <c r="A47" s="474" t="s">
        <v>162</v>
      </c>
      <c r="B47" s="475"/>
      <c r="C47" s="475"/>
      <c r="D47" s="475"/>
      <c r="E47" s="475"/>
      <c r="F47" s="475"/>
      <c r="G47" s="475"/>
      <c r="H47" s="475"/>
      <c r="I47" s="475"/>
      <c r="J47" s="475"/>
      <c r="K47" s="475"/>
      <c r="L47" s="475"/>
      <c r="M47" s="475"/>
      <c r="N47" s="117"/>
      <c r="O47" s="117"/>
      <c r="P47" s="117"/>
    </row>
    <row r="48" spans="1:18" s="118" customFormat="1" ht="13.5" x14ac:dyDescent="0.3">
      <c r="B48" s="120"/>
      <c r="C48" s="121"/>
      <c r="D48" s="117"/>
      <c r="E48" s="117"/>
      <c r="F48" s="117"/>
      <c r="G48" s="117"/>
      <c r="H48" s="117"/>
      <c r="I48" s="117"/>
      <c r="J48" s="117"/>
      <c r="K48" s="117"/>
      <c r="L48" s="117"/>
      <c r="M48" s="117"/>
      <c r="N48" s="117"/>
      <c r="O48" s="117"/>
      <c r="P48" s="117"/>
    </row>
    <row r="49" spans="1:16" s="118" customFormat="1" ht="14.25" x14ac:dyDescent="0.3">
      <c r="A49" s="158" t="s">
        <v>378</v>
      </c>
      <c r="B49" s="120"/>
      <c r="C49" s="121"/>
      <c r="D49" s="117"/>
      <c r="E49" s="117"/>
      <c r="F49" s="117"/>
      <c r="G49" s="117"/>
      <c r="H49" s="117"/>
      <c r="I49" s="117"/>
      <c r="J49" s="117"/>
      <c r="K49" s="117"/>
      <c r="L49" s="117"/>
      <c r="M49" s="117"/>
      <c r="N49" s="117"/>
      <c r="O49" s="117"/>
      <c r="P49" s="117"/>
    </row>
  </sheetData>
  <mergeCells count="6">
    <mergeCell ref="A47:M47"/>
    <mergeCell ref="A46:M46"/>
    <mergeCell ref="A1:P1"/>
    <mergeCell ref="A2:P2"/>
    <mergeCell ref="A3:P3"/>
    <mergeCell ref="A4:P4"/>
  </mergeCells>
  <pageMargins left="0.7" right="0.7" top="0.75" bottom="0.75" header="0.3" footer="0.3"/>
  <pageSetup orientation="portrait" horizontalDpi="4294967293" verticalDpi="0" r:id="rId1"/>
  <ignoredErrors>
    <ignoredError sqref="C28:C34 C3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7"/>
  <sheetViews>
    <sheetView showGridLines="0" workbookViewId="0">
      <pane ySplit="6" topLeftCell="A7" activePane="bottomLeft" state="frozen"/>
      <selection pane="bottomLeft" activeCell="A7" sqref="A7"/>
    </sheetView>
  </sheetViews>
  <sheetFormatPr defaultColWidth="9.140625" defaultRowHeight="16.5" x14ac:dyDescent="0.3"/>
  <cols>
    <col min="1" max="1" width="45.42578125" style="68" bestFit="1" customWidth="1"/>
    <col min="2" max="2" width="21.85546875" style="329" bestFit="1" customWidth="1"/>
    <col min="3" max="3" width="12.28515625" style="330" customWidth="1"/>
    <col min="4" max="4" width="19.42578125" style="329" customWidth="1"/>
    <col min="5" max="5" width="18" style="329" bestFit="1" customWidth="1"/>
    <col min="6" max="6" width="17.85546875" style="329" bestFit="1" customWidth="1"/>
    <col min="7" max="7" width="13.5703125" style="329" customWidth="1"/>
    <col min="8" max="8" width="20" style="329" bestFit="1" customWidth="1"/>
    <col min="9" max="11" width="13.85546875" style="329" customWidth="1"/>
    <col min="12" max="16384" width="9.140625" style="68"/>
  </cols>
  <sheetData>
    <row r="1" spans="1:11" s="296" customFormat="1" ht="18" x14ac:dyDescent="0.35">
      <c r="A1" s="471" t="s">
        <v>163</v>
      </c>
      <c r="B1" s="471"/>
      <c r="C1" s="471"/>
      <c r="D1" s="471"/>
      <c r="E1" s="471"/>
      <c r="F1" s="471"/>
      <c r="G1" s="471"/>
      <c r="H1" s="471"/>
      <c r="I1" s="471"/>
      <c r="J1" s="471"/>
      <c r="K1" s="471"/>
    </row>
    <row r="2" spans="1:11" s="296" customFormat="1" ht="18" x14ac:dyDescent="0.35">
      <c r="A2" s="471" t="s">
        <v>2</v>
      </c>
      <c r="B2" s="471"/>
      <c r="C2" s="471"/>
      <c r="D2" s="471"/>
      <c r="E2" s="471"/>
      <c r="F2" s="471"/>
      <c r="G2" s="471"/>
      <c r="H2" s="471"/>
      <c r="I2" s="471"/>
      <c r="J2" s="471"/>
      <c r="K2" s="471"/>
    </row>
    <row r="3" spans="1:11" s="296" customFormat="1" ht="18" x14ac:dyDescent="0.35">
      <c r="A3" s="467" t="s">
        <v>363</v>
      </c>
      <c r="B3" s="467"/>
      <c r="C3" s="467"/>
      <c r="D3" s="467"/>
      <c r="E3" s="467"/>
      <c r="F3" s="467"/>
      <c r="G3" s="467"/>
      <c r="H3" s="467"/>
      <c r="I3" s="467"/>
      <c r="J3" s="467"/>
      <c r="K3" s="467"/>
    </row>
    <row r="4" spans="1:11" s="296" customFormat="1" ht="18" x14ac:dyDescent="0.35">
      <c r="A4" s="471" t="s">
        <v>402</v>
      </c>
      <c r="B4" s="471"/>
      <c r="C4" s="471"/>
      <c r="D4" s="471"/>
      <c r="E4" s="471"/>
      <c r="F4" s="471"/>
      <c r="G4" s="471"/>
      <c r="H4" s="471"/>
      <c r="I4" s="471"/>
      <c r="J4" s="471"/>
      <c r="K4" s="471"/>
    </row>
    <row r="5" spans="1:11" s="59" customFormat="1" x14ac:dyDescent="0.3">
      <c r="A5" s="297"/>
      <c r="B5" s="57"/>
      <c r="C5" s="57"/>
      <c r="D5" s="57"/>
      <c r="E5" s="57"/>
      <c r="F5" s="57"/>
      <c r="G5" s="57"/>
      <c r="H5" s="57"/>
      <c r="I5" s="57"/>
      <c r="J5" s="57"/>
      <c r="K5" s="57"/>
    </row>
    <row r="6" spans="1:11" s="38" customFormat="1" ht="86.25" customHeight="1" x14ac:dyDescent="0.3">
      <c r="A6" s="123" t="s">
        <v>3</v>
      </c>
      <c r="B6" s="89" t="s">
        <v>6</v>
      </c>
      <c r="C6" s="10" t="s">
        <v>5</v>
      </c>
      <c r="D6" s="11" t="s">
        <v>164</v>
      </c>
      <c r="E6" s="11" t="s">
        <v>8</v>
      </c>
      <c r="F6" s="298" t="s">
        <v>165</v>
      </c>
      <c r="G6" s="10" t="s">
        <v>5</v>
      </c>
      <c r="H6" s="298" t="s">
        <v>166</v>
      </c>
      <c r="I6" s="442" t="s">
        <v>369</v>
      </c>
      <c r="J6" s="442" t="s">
        <v>370</v>
      </c>
      <c r="K6" s="442" t="s">
        <v>371</v>
      </c>
    </row>
    <row r="7" spans="1:11" s="243" customFormat="1" ht="15" x14ac:dyDescent="0.3">
      <c r="A7" s="256" t="s">
        <v>171</v>
      </c>
      <c r="B7" s="277">
        <v>9180513</v>
      </c>
      <c r="C7" s="299">
        <f t="shared" ref="C7:C28" si="0">B7/$B$36</f>
        <v>4.5489540984032916E-3</v>
      </c>
      <c r="D7" s="277">
        <v>92806</v>
      </c>
      <c r="E7" s="277">
        <v>18802</v>
      </c>
      <c r="F7" s="277">
        <f>D7+E7</f>
        <v>111608</v>
      </c>
      <c r="G7" s="299">
        <f t="shared" ref="G7:G28" si="1">F7/$F$36</f>
        <v>9.4239951137892436E-4</v>
      </c>
      <c r="H7" s="277">
        <f>B7+F7</f>
        <v>9292121</v>
      </c>
      <c r="I7" s="300">
        <f t="shared" ref="I7:I28" si="2">H7/$H$36</f>
        <v>4.3490453222606446E-3</v>
      </c>
      <c r="J7" s="300">
        <v>3.6685640444242993E-3</v>
      </c>
      <c r="K7" s="300">
        <v>-1.9928666952548678E-3</v>
      </c>
    </row>
    <row r="8" spans="1:11" s="243" customFormat="1" ht="15" x14ac:dyDescent="0.3">
      <c r="A8" s="256" t="s">
        <v>172</v>
      </c>
      <c r="B8" s="277">
        <v>19586174</v>
      </c>
      <c r="C8" s="299">
        <f t="shared" si="0"/>
        <v>9.704970352892044E-3</v>
      </c>
      <c r="D8" s="277">
        <v>1183757</v>
      </c>
      <c r="E8" s="277">
        <v>0</v>
      </c>
      <c r="F8" s="277">
        <f t="shared" ref="F8:F27" si="3">D8+E8</f>
        <v>1183757</v>
      </c>
      <c r="G8" s="299">
        <f t="shared" si="1"/>
        <v>9.9954485197421457E-3</v>
      </c>
      <c r="H8" s="277">
        <f t="shared" ref="H8:H27" si="4">B8+F8</f>
        <v>20769931</v>
      </c>
      <c r="I8" s="300">
        <f t="shared" si="2"/>
        <v>9.7210713527327453E-3</v>
      </c>
      <c r="J8" s="300">
        <v>8.0180903814066808E-3</v>
      </c>
      <c r="K8" s="300">
        <v>1.3567306731849343E-2</v>
      </c>
    </row>
    <row r="9" spans="1:11" s="243" customFormat="1" ht="15" x14ac:dyDescent="0.3">
      <c r="A9" s="256" t="s">
        <v>173</v>
      </c>
      <c r="B9" s="277">
        <v>0</v>
      </c>
      <c r="C9" s="299">
        <f t="shared" si="0"/>
        <v>0</v>
      </c>
      <c r="D9" s="277">
        <v>0</v>
      </c>
      <c r="E9" s="277">
        <v>0</v>
      </c>
      <c r="F9" s="277">
        <f t="shared" si="3"/>
        <v>0</v>
      </c>
      <c r="G9" s="299">
        <f t="shared" si="1"/>
        <v>0</v>
      </c>
      <c r="H9" s="277">
        <f t="shared" si="4"/>
        <v>0</v>
      </c>
      <c r="I9" s="300">
        <f t="shared" si="2"/>
        <v>0</v>
      </c>
      <c r="J9" s="300">
        <v>8.7324950630626883E-6</v>
      </c>
      <c r="K9" s="300">
        <v>-3.6490735607197414E-6</v>
      </c>
    </row>
    <row r="10" spans="1:11" s="243" customFormat="1" ht="15" x14ac:dyDescent="0.3">
      <c r="A10" s="256" t="s">
        <v>168</v>
      </c>
      <c r="B10" s="277">
        <v>0</v>
      </c>
      <c r="C10" s="299">
        <f t="shared" si="0"/>
        <v>0</v>
      </c>
      <c r="D10" s="277">
        <v>0</v>
      </c>
      <c r="E10" s="277">
        <v>0</v>
      </c>
      <c r="F10" s="277">
        <v>0</v>
      </c>
      <c r="G10" s="299">
        <f t="shared" si="1"/>
        <v>0</v>
      </c>
      <c r="H10" s="277">
        <v>0</v>
      </c>
      <c r="I10" s="300">
        <f t="shared" si="2"/>
        <v>0</v>
      </c>
      <c r="J10" s="300">
        <v>0</v>
      </c>
      <c r="K10" s="301">
        <v>0</v>
      </c>
    </row>
    <row r="11" spans="1:11" s="243" customFormat="1" ht="15" x14ac:dyDescent="0.3">
      <c r="A11" s="256" t="s">
        <v>174</v>
      </c>
      <c r="B11" s="277">
        <v>38869708</v>
      </c>
      <c r="C11" s="299">
        <f t="shared" si="0"/>
        <v>1.9259982259198283E-2</v>
      </c>
      <c r="D11" s="277">
        <v>1268337</v>
      </c>
      <c r="E11" s="277">
        <v>712</v>
      </c>
      <c r="F11" s="277">
        <f t="shared" si="3"/>
        <v>1269049</v>
      </c>
      <c r="G11" s="299">
        <f t="shared" si="1"/>
        <v>1.0715640075226799E-2</v>
      </c>
      <c r="H11" s="277">
        <f t="shared" si="4"/>
        <v>40138757</v>
      </c>
      <c r="I11" s="300">
        <f t="shared" si="2"/>
        <v>1.8786375400428677E-2</v>
      </c>
      <c r="J11" s="300">
        <v>1.4577402271481124E-2</v>
      </c>
      <c r="K11" s="300">
        <v>2.1596848420372825E-2</v>
      </c>
    </row>
    <row r="12" spans="1:11" s="243" customFormat="1" ht="15" x14ac:dyDescent="0.3">
      <c r="A12" s="256" t="s">
        <v>175</v>
      </c>
      <c r="B12" s="277">
        <v>3041209</v>
      </c>
      <c r="C12" s="299">
        <f t="shared" si="0"/>
        <v>1.5069223413387658E-3</v>
      </c>
      <c r="D12" s="277">
        <v>79595</v>
      </c>
      <c r="E12" s="277">
        <v>0</v>
      </c>
      <c r="F12" s="277">
        <f t="shared" si="3"/>
        <v>79595</v>
      </c>
      <c r="G12" s="299">
        <f t="shared" si="1"/>
        <v>6.7208702878114015E-4</v>
      </c>
      <c r="H12" s="277">
        <f t="shared" si="4"/>
        <v>3120804</v>
      </c>
      <c r="I12" s="300">
        <f t="shared" si="2"/>
        <v>1.460648008984419E-3</v>
      </c>
      <c r="J12" s="300">
        <v>8.8472102020755621E-4</v>
      </c>
      <c r="K12" s="300">
        <v>2.5603512191691704E-3</v>
      </c>
    </row>
    <row r="13" spans="1:11" s="243" customFormat="1" ht="15" x14ac:dyDescent="0.3">
      <c r="A13" s="256" t="s">
        <v>176</v>
      </c>
      <c r="B13" s="277">
        <v>1004040899</v>
      </c>
      <c r="C13" s="299">
        <f t="shared" si="0"/>
        <v>0.49750334893818848</v>
      </c>
      <c r="D13" s="277">
        <v>9760</v>
      </c>
      <c r="E13" s="277">
        <v>86777</v>
      </c>
      <c r="F13" s="277">
        <f t="shared" si="3"/>
        <v>96537</v>
      </c>
      <c r="G13" s="299">
        <f t="shared" si="1"/>
        <v>8.1514247751045829E-4</v>
      </c>
      <c r="H13" s="277">
        <f t="shared" si="4"/>
        <v>1004137436</v>
      </c>
      <c r="I13" s="300">
        <f t="shared" si="2"/>
        <v>0.46997227209402431</v>
      </c>
      <c r="J13" s="300">
        <v>0.47600298451468331</v>
      </c>
      <c r="K13" s="300">
        <v>0.47849170771701738</v>
      </c>
    </row>
    <row r="14" spans="1:11" s="243" customFormat="1" ht="15" x14ac:dyDescent="0.3">
      <c r="A14" s="256" t="s">
        <v>169</v>
      </c>
      <c r="B14" s="277">
        <v>0</v>
      </c>
      <c r="C14" s="299">
        <f t="shared" si="0"/>
        <v>0</v>
      </c>
      <c r="D14" s="277">
        <v>0</v>
      </c>
      <c r="E14" s="277">
        <v>0</v>
      </c>
      <c r="F14" s="277">
        <f t="shared" si="3"/>
        <v>0</v>
      </c>
      <c r="G14" s="299">
        <f t="shared" si="1"/>
        <v>0</v>
      </c>
      <c r="H14" s="277">
        <f t="shared" si="4"/>
        <v>0</v>
      </c>
      <c r="I14" s="300">
        <f t="shared" si="2"/>
        <v>0</v>
      </c>
      <c r="J14" s="300">
        <v>0</v>
      </c>
      <c r="K14" s="300">
        <v>0</v>
      </c>
    </row>
    <row r="15" spans="1:11" s="243" customFormat="1" ht="15" x14ac:dyDescent="0.3">
      <c r="A15" s="256" t="s">
        <v>177</v>
      </c>
      <c r="B15" s="277">
        <v>14074185</v>
      </c>
      <c r="C15" s="299">
        <f t="shared" si="0"/>
        <v>6.9737738552776004E-3</v>
      </c>
      <c r="D15" s="277">
        <v>323</v>
      </c>
      <c r="E15" s="277">
        <v>0</v>
      </c>
      <c r="F15" s="277">
        <f t="shared" si="3"/>
        <v>323</v>
      </c>
      <c r="G15" s="299">
        <f t="shared" si="1"/>
        <v>2.7273586317772255E-6</v>
      </c>
      <c r="H15" s="277">
        <f t="shared" si="4"/>
        <v>14074508</v>
      </c>
      <c r="I15" s="300">
        <f t="shared" si="2"/>
        <v>6.5873736664126548E-3</v>
      </c>
      <c r="J15" s="300">
        <v>6.7662984895365047E-3</v>
      </c>
      <c r="K15" s="300">
        <v>6.6646995614924286E-3</v>
      </c>
    </row>
    <row r="16" spans="1:11" s="243" customFormat="1" ht="15" x14ac:dyDescent="0.3">
      <c r="A16" s="256" t="s">
        <v>178</v>
      </c>
      <c r="B16" s="277">
        <v>6892704</v>
      </c>
      <c r="C16" s="299">
        <f t="shared" si="0"/>
        <v>3.4153422700758402E-3</v>
      </c>
      <c r="D16" s="277">
        <v>45150</v>
      </c>
      <c r="E16" s="277">
        <v>683</v>
      </c>
      <c r="F16" s="277">
        <f t="shared" si="3"/>
        <v>45833</v>
      </c>
      <c r="G16" s="299">
        <f t="shared" si="1"/>
        <v>3.8700627916484696E-4</v>
      </c>
      <c r="H16" s="277">
        <f t="shared" si="4"/>
        <v>6938537</v>
      </c>
      <c r="I16" s="300">
        <f t="shared" si="2"/>
        <v>3.2474837427517791E-3</v>
      </c>
      <c r="J16" s="300">
        <v>4.729947558859058E-3</v>
      </c>
      <c r="K16" s="300">
        <v>3.0664670845760777E-3</v>
      </c>
    </row>
    <row r="17" spans="1:11" s="243" customFormat="1" ht="15" x14ac:dyDescent="0.3">
      <c r="A17" s="256" t="s">
        <v>179</v>
      </c>
      <c r="B17" s="277">
        <v>39857999</v>
      </c>
      <c r="C17" s="299">
        <f t="shared" si="0"/>
        <v>1.9749681516185894E-2</v>
      </c>
      <c r="D17" s="277">
        <v>253662</v>
      </c>
      <c r="E17" s="277">
        <v>5381</v>
      </c>
      <c r="F17" s="277">
        <f t="shared" si="3"/>
        <v>259043</v>
      </c>
      <c r="G17" s="299">
        <f t="shared" si="1"/>
        <v>2.187316291181015E-3</v>
      </c>
      <c r="H17" s="277">
        <f t="shared" si="4"/>
        <v>40117042</v>
      </c>
      <c r="I17" s="300">
        <f t="shared" si="2"/>
        <v>1.8776212002946779E-2</v>
      </c>
      <c r="J17" s="300">
        <v>1.8896889912293817E-2</v>
      </c>
      <c r="K17" s="300">
        <v>2.1580979372587076E-2</v>
      </c>
    </row>
    <row r="18" spans="1:11" s="243" customFormat="1" ht="15" x14ac:dyDescent="0.3">
      <c r="A18" s="256" t="s">
        <v>180</v>
      </c>
      <c r="B18" s="277">
        <v>136666015</v>
      </c>
      <c r="C18" s="299">
        <f t="shared" si="0"/>
        <v>6.7718157911948462E-2</v>
      </c>
      <c r="D18" s="277">
        <v>5623</v>
      </c>
      <c r="E18" s="277">
        <v>1302</v>
      </c>
      <c r="F18" s="277">
        <f t="shared" si="3"/>
        <v>6925</v>
      </c>
      <c r="G18" s="299">
        <f t="shared" si="1"/>
        <v>5.8473555805130917E-5</v>
      </c>
      <c r="H18" s="277">
        <f t="shared" si="4"/>
        <v>136672940</v>
      </c>
      <c r="I18" s="300">
        <f t="shared" si="2"/>
        <v>6.3967829345593946E-2</v>
      </c>
      <c r="J18" s="300">
        <v>6.7766208297177347E-2</v>
      </c>
      <c r="K18" s="300">
        <v>6.6834995537244354E-2</v>
      </c>
    </row>
    <row r="19" spans="1:11" s="243" customFormat="1" ht="15" x14ac:dyDescent="0.3">
      <c r="A19" s="256" t="s">
        <v>181</v>
      </c>
      <c r="B19" s="277">
        <v>7620</v>
      </c>
      <c r="C19" s="299">
        <f t="shared" si="0"/>
        <v>3.7757182229177258E-6</v>
      </c>
      <c r="D19" s="277">
        <v>0</v>
      </c>
      <c r="E19" s="277">
        <v>0</v>
      </c>
      <c r="F19" s="277">
        <f t="shared" si="3"/>
        <v>0</v>
      </c>
      <c r="G19" s="299">
        <f t="shared" si="1"/>
        <v>0</v>
      </c>
      <c r="H19" s="277">
        <f t="shared" si="4"/>
        <v>7620</v>
      </c>
      <c r="I19" s="300">
        <f t="shared" si="2"/>
        <v>3.5664328257914543E-6</v>
      </c>
      <c r="J19" s="300">
        <v>5.2499585629529442E-6</v>
      </c>
      <c r="K19" s="300">
        <v>3.4982351135196937E-6</v>
      </c>
    </row>
    <row r="20" spans="1:11" s="243" customFormat="1" ht="15" x14ac:dyDescent="0.3">
      <c r="A20" s="256" t="s">
        <v>182</v>
      </c>
      <c r="B20" s="277">
        <v>0</v>
      </c>
      <c r="C20" s="299">
        <f t="shared" si="0"/>
        <v>0</v>
      </c>
      <c r="D20" s="277">
        <v>0</v>
      </c>
      <c r="E20" s="277">
        <v>0</v>
      </c>
      <c r="F20" s="277">
        <f t="shared" si="3"/>
        <v>0</v>
      </c>
      <c r="G20" s="299">
        <f t="shared" si="1"/>
        <v>0</v>
      </c>
      <c r="H20" s="277">
        <f t="shared" si="4"/>
        <v>0</v>
      </c>
      <c r="I20" s="300">
        <f t="shared" si="2"/>
        <v>0</v>
      </c>
      <c r="J20" s="300">
        <v>1.4034721549409687E-8</v>
      </c>
      <c r="K20" s="301">
        <v>6.9304695922020208E-8</v>
      </c>
    </row>
    <row r="21" spans="1:11" s="243" customFormat="1" ht="15" x14ac:dyDescent="0.3">
      <c r="A21" s="256" t="s">
        <v>183</v>
      </c>
      <c r="B21" s="277">
        <v>240669262</v>
      </c>
      <c r="C21" s="299">
        <f t="shared" si="0"/>
        <v>0.11925187903275074</v>
      </c>
      <c r="D21" s="277">
        <v>0</v>
      </c>
      <c r="E21" s="277">
        <v>0</v>
      </c>
      <c r="F21" s="277">
        <f t="shared" si="3"/>
        <v>0</v>
      </c>
      <c r="G21" s="299">
        <f t="shared" si="1"/>
        <v>0</v>
      </c>
      <c r="H21" s="277">
        <f t="shared" si="4"/>
        <v>240669262</v>
      </c>
      <c r="I21" s="300">
        <f t="shared" si="2"/>
        <v>0.11264183151650969</v>
      </c>
      <c r="J21" s="300">
        <v>0.11041859069763488</v>
      </c>
      <c r="K21" s="300">
        <v>0.11914694585622218</v>
      </c>
    </row>
    <row r="22" spans="1:11" s="243" customFormat="1" ht="15" x14ac:dyDescent="0.3">
      <c r="A22" s="256" t="s">
        <v>184</v>
      </c>
      <c r="B22" s="277">
        <v>52662459</v>
      </c>
      <c r="C22" s="299">
        <f t="shared" si="0"/>
        <v>2.6094305263773963E-2</v>
      </c>
      <c r="D22" s="277">
        <v>0</v>
      </c>
      <c r="E22" s="277">
        <v>0</v>
      </c>
      <c r="F22" s="277">
        <f t="shared" si="3"/>
        <v>0</v>
      </c>
      <c r="G22" s="299">
        <f t="shared" si="1"/>
        <v>0</v>
      </c>
      <c r="H22" s="277">
        <f t="shared" si="4"/>
        <v>52662459</v>
      </c>
      <c r="I22" s="300">
        <f t="shared" si="2"/>
        <v>2.4647916333923436E-2</v>
      </c>
      <c r="J22" s="300">
        <v>2.403744940885642E-2</v>
      </c>
      <c r="K22" s="300">
        <v>2.3312336810258485E-2</v>
      </c>
    </row>
    <row r="23" spans="1:11" s="243" customFormat="1" ht="15" x14ac:dyDescent="0.3">
      <c r="A23" s="256" t="s">
        <v>185</v>
      </c>
      <c r="B23" s="277">
        <v>43719</v>
      </c>
      <c r="C23" s="299">
        <f t="shared" si="0"/>
        <v>2.1662811678181112E-5</v>
      </c>
      <c r="D23" s="277">
        <v>141</v>
      </c>
      <c r="E23" s="277">
        <v>0</v>
      </c>
      <c r="F23" s="277">
        <f t="shared" si="3"/>
        <v>141</v>
      </c>
      <c r="G23" s="299">
        <f t="shared" si="1"/>
        <v>1.1905807030358787E-6</v>
      </c>
      <c r="H23" s="277">
        <f t="shared" si="4"/>
        <v>43860</v>
      </c>
      <c r="I23" s="300">
        <f t="shared" si="2"/>
        <v>2.0528050359476796E-5</v>
      </c>
      <c r="J23" s="300">
        <v>2.7403419134598378E-5</v>
      </c>
      <c r="K23" s="300">
        <v>2.632052835124357E-5</v>
      </c>
    </row>
    <row r="24" spans="1:11" s="243" customFormat="1" ht="15" x14ac:dyDescent="0.3">
      <c r="A24" s="256" t="s">
        <v>186</v>
      </c>
      <c r="B24" s="277">
        <v>431725</v>
      </c>
      <c r="C24" s="299">
        <f t="shared" si="0"/>
        <v>2.1392020338440357E-4</v>
      </c>
      <c r="D24" s="277">
        <v>5970</v>
      </c>
      <c r="E24" s="277">
        <v>0</v>
      </c>
      <c r="F24" s="277">
        <f t="shared" si="3"/>
        <v>5970</v>
      </c>
      <c r="G24" s="299">
        <f t="shared" si="1"/>
        <v>5.0409693596625499E-5</v>
      </c>
      <c r="H24" s="277">
        <f t="shared" si="4"/>
        <v>437695</v>
      </c>
      <c r="I24" s="300">
        <f t="shared" si="2"/>
        <v>2.0485693119222972E-4</v>
      </c>
      <c r="J24" s="300">
        <v>1.6792220761080497E-4</v>
      </c>
      <c r="K24" s="300">
        <v>2.8270090601580729E-4</v>
      </c>
    </row>
    <row r="25" spans="1:11" s="243" customFormat="1" ht="15" x14ac:dyDescent="0.3">
      <c r="A25" s="256" t="s">
        <v>170</v>
      </c>
      <c r="B25" s="277">
        <v>0</v>
      </c>
      <c r="C25" s="299">
        <f t="shared" si="0"/>
        <v>0</v>
      </c>
      <c r="D25" s="277">
        <v>0</v>
      </c>
      <c r="E25" s="277">
        <v>0</v>
      </c>
      <c r="F25" s="277">
        <f t="shared" si="3"/>
        <v>0</v>
      </c>
      <c r="G25" s="299">
        <f t="shared" si="1"/>
        <v>0</v>
      </c>
      <c r="H25" s="277">
        <f t="shared" si="4"/>
        <v>0</v>
      </c>
      <c r="I25" s="300">
        <f t="shared" si="2"/>
        <v>0</v>
      </c>
      <c r="J25" s="300">
        <v>0</v>
      </c>
      <c r="K25" s="300">
        <v>1.3254019427238098E-7</v>
      </c>
    </row>
    <row r="26" spans="1:11" s="243" customFormat="1" ht="15" x14ac:dyDescent="0.3">
      <c r="A26" s="256" t="s">
        <v>187</v>
      </c>
      <c r="B26" s="277">
        <v>257004</v>
      </c>
      <c r="C26" s="299">
        <f t="shared" si="0"/>
        <v>1.2734575933894321E-4</v>
      </c>
      <c r="D26" s="277">
        <v>23635</v>
      </c>
      <c r="E26" s="277">
        <v>0</v>
      </c>
      <c r="F26" s="277">
        <f t="shared" si="3"/>
        <v>23635</v>
      </c>
      <c r="G26" s="299">
        <f t="shared" si="1"/>
        <v>1.9957003486704248E-4</v>
      </c>
      <c r="H26" s="277">
        <f t="shared" si="4"/>
        <v>280639</v>
      </c>
      <c r="I26" s="300">
        <f t="shared" si="2"/>
        <v>1.3134909997339735E-4</v>
      </c>
      <c r="J26" s="300">
        <v>1.4414041164751283E-4</v>
      </c>
      <c r="K26" s="300">
        <v>7.0090498352177858E-5</v>
      </c>
    </row>
    <row r="27" spans="1:11" s="243" customFormat="1" ht="15" x14ac:dyDescent="0.3">
      <c r="A27" s="256" t="s">
        <v>188</v>
      </c>
      <c r="B27" s="302">
        <v>25750652</v>
      </c>
      <c r="C27" s="303">
        <f t="shared" si="0"/>
        <v>1.2759475854122413E-2</v>
      </c>
      <c r="D27" s="302">
        <v>38640</v>
      </c>
      <c r="E27" s="302">
        <v>0</v>
      </c>
      <c r="F27" s="302">
        <f t="shared" si="3"/>
        <v>38640</v>
      </c>
      <c r="G27" s="303">
        <f t="shared" si="1"/>
        <v>3.2626977564047054E-4</v>
      </c>
      <c r="H27" s="302">
        <f t="shared" si="4"/>
        <v>25789292</v>
      </c>
      <c r="I27" s="304">
        <f t="shared" si="2"/>
        <v>1.2070312013480439E-2</v>
      </c>
      <c r="J27" s="304">
        <v>6.6467287363694708E-3</v>
      </c>
      <c r="K27" s="304">
        <v>9.0812494194640152E-3</v>
      </c>
    </row>
    <row r="28" spans="1:11" s="73" customFormat="1" ht="15" x14ac:dyDescent="0.3">
      <c r="A28" s="305" t="s">
        <v>0</v>
      </c>
      <c r="B28" s="306">
        <f>SUM(B7:B27)</f>
        <v>1592031847</v>
      </c>
      <c r="C28" s="307">
        <f t="shared" si="0"/>
        <v>0.78885349818678019</v>
      </c>
      <c r="D28" s="306">
        <f>SUM(D7:D27)</f>
        <v>3007399</v>
      </c>
      <c r="E28" s="306">
        <f>SUM(E7:E27)</f>
        <v>113657</v>
      </c>
      <c r="F28" s="306">
        <f>SUM(F7:F27)</f>
        <v>3121056</v>
      </c>
      <c r="G28" s="307">
        <f t="shared" si="1"/>
        <v>2.6353681182229412E-2</v>
      </c>
      <c r="H28" s="306">
        <f>SUM(H7:H27)</f>
        <v>1595152903</v>
      </c>
      <c r="I28" s="308">
        <f t="shared" si="2"/>
        <v>0.74658867131440043</v>
      </c>
      <c r="J28" s="308">
        <v>0.74276733785967097</v>
      </c>
      <c r="K28" s="308">
        <v>0.76429018397416082</v>
      </c>
    </row>
    <row r="29" spans="1:11" s="73" customFormat="1" ht="15" x14ac:dyDescent="0.3">
      <c r="A29" s="305"/>
      <c r="B29" s="306"/>
      <c r="C29" s="307"/>
      <c r="D29" s="306"/>
      <c r="E29" s="306"/>
      <c r="F29" s="306"/>
      <c r="G29" s="307"/>
      <c r="H29" s="306"/>
      <c r="I29" s="300"/>
      <c r="J29" s="308"/>
      <c r="K29" s="308"/>
    </row>
    <row r="30" spans="1:11" s="243" customFormat="1" ht="15" x14ac:dyDescent="0.3">
      <c r="A30" s="305" t="s">
        <v>148</v>
      </c>
      <c r="B30" s="277"/>
      <c r="C30" s="309"/>
      <c r="D30" s="277"/>
      <c r="E30" s="277"/>
      <c r="F30" s="277"/>
      <c r="G30" s="309"/>
      <c r="H30" s="277"/>
      <c r="I30" s="300"/>
      <c r="J30" s="300"/>
      <c r="K30" s="300"/>
    </row>
    <row r="31" spans="1:11" s="243" customFormat="1" ht="15" x14ac:dyDescent="0.3">
      <c r="A31" s="85" t="s">
        <v>149</v>
      </c>
      <c r="B31" s="420">
        <v>39770898</v>
      </c>
      <c r="C31" s="299">
        <f>B31/$B$36</f>
        <v>1.9706522876693194E-2</v>
      </c>
      <c r="D31" s="310">
        <v>110751</v>
      </c>
      <c r="E31" s="310">
        <v>53168</v>
      </c>
      <c r="F31" s="310">
        <f t="shared" ref="F31:F33" si="5">D31+E31</f>
        <v>163919</v>
      </c>
      <c r="G31" s="299">
        <f>F31/$F$36</f>
        <v>1.3841049522052354E-3</v>
      </c>
      <c r="H31" s="310">
        <f t="shared" ref="H31:H33" si="6">B31+F31</f>
        <v>39934817</v>
      </c>
      <c r="I31" s="300">
        <f>H31/$H$36</f>
        <v>1.8690924178579343E-2</v>
      </c>
      <c r="J31" s="300">
        <v>2.1602480133115151E-2</v>
      </c>
      <c r="K31" s="300">
        <v>2.4202239990809709E-2</v>
      </c>
    </row>
    <row r="32" spans="1:11" s="243" customFormat="1" ht="15" x14ac:dyDescent="0.3">
      <c r="A32" s="85" t="s">
        <v>150</v>
      </c>
      <c r="B32" s="421">
        <v>188835669</v>
      </c>
      <c r="C32" s="299">
        <f>B32/$B$36</f>
        <v>9.3568277766425192E-2</v>
      </c>
      <c r="D32" s="277">
        <v>9025190</v>
      </c>
      <c r="E32" s="277">
        <v>105597547</v>
      </c>
      <c r="F32" s="277">
        <f t="shared" si="5"/>
        <v>114622737</v>
      </c>
      <c r="G32" s="299">
        <f>F32/$F$36</f>
        <v>0.96785545249189087</v>
      </c>
      <c r="H32" s="277">
        <f t="shared" si="6"/>
        <v>303458406</v>
      </c>
      <c r="I32" s="300">
        <f>H32/$H$36</f>
        <v>0.14202939900534781</v>
      </c>
      <c r="J32" s="300">
        <v>0.14555817430544093</v>
      </c>
      <c r="K32" s="300">
        <v>0.13216885402087791</v>
      </c>
    </row>
    <row r="33" spans="1:17" s="243" customFormat="1" ht="15" x14ac:dyDescent="0.3">
      <c r="A33" s="256" t="s">
        <v>167</v>
      </c>
      <c r="B33" s="302">
        <v>197520662</v>
      </c>
      <c r="C33" s="303">
        <f>B33/$B$36</f>
        <v>9.7871701170101424E-2</v>
      </c>
      <c r="D33" s="302">
        <v>204482</v>
      </c>
      <c r="E33" s="302">
        <v>317409</v>
      </c>
      <c r="F33" s="302">
        <f t="shared" si="5"/>
        <v>521891</v>
      </c>
      <c r="G33" s="303">
        <f>F33/$F$36</f>
        <v>4.406761373674452E-3</v>
      </c>
      <c r="H33" s="302">
        <f t="shared" si="6"/>
        <v>198042553</v>
      </c>
      <c r="I33" s="304">
        <f>H33/$H$36</f>
        <v>9.2691005501672419E-2</v>
      </c>
      <c r="J33" s="304">
        <v>9.0072007701773024E-2</v>
      </c>
      <c r="K33" s="304">
        <v>7.9338722014151458E-2</v>
      </c>
    </row>
    <row r="34" spans="1:17" s="243" customFormat="1" ht="15" x14ac:dyDescent="0.3">
      <c r="A34" s="305" t="s">
        <v>151</v>
      </c>
      <c r="B34" s="306">
        <f>SUM(B31:B33)</f>
        <v>426127229</v>
      </c>
      <c r="C34" s="307">
        <f>B34/$B$36</f>
        <v>0.21114650181321981</v>
      </c>
      <c r="D34" s="306">
        <f t="shared" ref="D34:H34" si="7">SUM(D31:D33)</f>
        <v>9340423</v>
      </c>
      <c r="E34" s="306">
        <f t="shared" si="7"/>
        <v>105968124</v>
      </c>
      <c r="F34" s="306">
        <f t="shared" si="7"/>
        <v>115308547</v>
      </c>
      <c r="G34" s="307">
        <f>F34/$F$36</f>
        <v>0.97364631881777064</v>
      </c>
      <c r="H34" s="306">
        <f t="shared" si="7"/>
        <v>541435776</v>
      </c>
      <c r="I34" s="308">
        <f>H34/$H$36</f>
        <v>0.25341132868559957</v>
      </c>
      <c r="J34" s="308">
        <v>0.25723266214032908</v>
      </c>
      <c r="K34" s="308">
        <v>0.23570981602583907</v>
      </c>
    </row>
    <row r="35" spans="1:17" s="243" customFormat="1" ht="15" x14ac:dyDescent="0.3">
      <c r="A35" s="305"/>
      <c r="B35" s="306"/>
      <c r="C35" s="307"/>
      <c r="D35" s="306"/>
      <c r="E35" s="306"/>
      <c r="F35" s="306"/>
      <c r="G35" s="307"/>
      <c r="H35" s="306"/>
      <c r="I35" s="308"/>
      <c r="J35" s="308"/>
      <c r="K35" s="308"/>
    </row>
    <row r="36" spans="1:17" s="73" customFormat="1" ht="15" x14ac:dyDescent="0.3">
      <c r="A36" s="311" t="s">
        <v>152</v>
      </c>
      <c r="B36" s="306">
        <f>B28+B34</f>
        <v>2018159076</v>
      </c>
      <c r="C36" s="307">
        <f>B36/$B$36</f>
        <v>1</v>
      </c>
      <c r="D36" s="306">
        <f t="shared" ref="D36:H36" si="8">D28+D34</f>
        <v>12347822</v>
      </c>
      <c r="E36" s="306">
        <f t="shared" si="8"/>
        <v>106081781</v>
      </c>
      <c r="F36" s="306">
        <f t="shared" si="8"/>
        <v>118429603</v>
      </c>
      <c r="G36" s="307">
        <f>F36/$F$36</f>
        <v>1</v>
      </c>
      <c r="H36" s="306">
        <f t="shared" si="8"/>
        <v>2136588679</v>
      </c>
      <c r="I36" s="308">
        <f>H36/$H$36</f>
        <v>1</v>
      </c>
      <c r="J36" s="308"/>
      <c r="K36" s="308"/>
    </row>
    <row r="37" spans="1:17" s="73" customFormat="1" ht="15" x14ac:dyDescent="0.3">
      <c r="A37" s="311"/>
      <c r="B37" s="306"/>
      <c r="C37" s="307"/>
      <c r="D37" s="306"/>
      <c r="E37" s="306"/>
      <c r="F37" s="306"/>
      <c r="G37" s="307"/>
      <c r="H37" s="306"/>
      <c r="I37" s="308"/>
      <c r="J37" s="308"/>
      <c r="K37" s="308"/>
    </row>
    <row r="38" spans="1:17" s="73" customFormat="1" ht="15" x14ac:dyDescent="0.3">
      <c r="A38" s="124" t="s">
        <v>189</v>
      </c>
      <c r="B38" s="72">
        <v>189435</v>
      </c>
      <c r="C38" s="316"/>
      <c r="D38" s="72">
        <v>14686</v>
      </c>
      <c r="E38" s="72">
        <v>331</v>
      </c>
      <c r="F38" s="72">
        <f>D38+E38</f>
        <v>15017</v>
      </c>
      <c r="G38" s="72"/>
      <c r="H38" s="72">
        <f>B38+F38</f>
        <v>204452</v>
      </c>
      <c r="I38" s="72"/>
      <c r="J38" s="317"/>
      <c r="K38" s="317"/>
    </row>
    <row r="39" spans="1:17" s="243" customFormat="1" ht="15" x14ac:dyDescent="0.3">
      <c r="A39" s="318" t="s">
        <v>380</v>
      </c>
      <c r="B39" s="35">
        <f>B36/B38</f>
        <v>10653.570227254731</v>
      </c>
      <c r="C39" s="445"/>
      <c r="D39" s="35">
        <f t="shared" ref="D39:H39" si="9">D36/D38</f>
        <v>840.78864224431436</v>
      </c>
      <c r="E39" s="35">
        <f t="shared" si="9"/>
        <v>320488.76435045316</v>
      </c>
      <c r="F39" s="35">
        <f t="shared" si="9"/>
        <v>7886.368981820603</v>
      </c>
      <c r="G39" s="35"/>
      <c r="H39" s="35">
        <f t="shared" si="9"/>
        <v>10450.319287656761</v>
      </c>
      <c r="I39" s="446"/>
      <c r="J39" s="321"/>
      <c r="K39" s="317"/>
    </row>
    <row r="40" spans="1:17" s="243" customFormat="1" ht="15" x14ac:dyDescent="0.3">
      <c r="A40" s="318"/>
      <c r="B40" s="306"/>
      <c r="C40" s="319"/>
      <c r="D40" s="306"/>
      <c r="E40" s="306"/>
      <c r="F40" s="306"/>
      <c r="G40" s="306"/>
      <c r="H40" s="306"/>
      <c r="I40" s="320"/>
      <c r="J40" s="321"/>
      <c r="K40" s="317"/>
    </row>
    <row r="41" spans="1:17" s="243" customFormat="1" ht="15" x14ac:dyDescent="0.3">
      <c r="B41" s="315"/>
      <c r="C41" s="313"/>
      <c r="D41" s="314"/>
      <c r="E41" s="315"/>
      <c r="F41" s="314"/>
      <c r="G41" s="315"/>
      <c r="H41" s="315"/>
      <c r="I41" s="315"/>
      <c r="J41" s="315"/>
      <c r="K41" s="315"/>
    </row>
    <row r="42" spans="1:17" s="49" customFormat="1" ht="13.5" x14ac:dyDescent="0.3">
      <c r="A42" s="322" t="s">
        <v>190</v>
      </c>
      <c r="B42" s="323"/>
      <c r="C42" s="324"/>
      <c r="D42" s="323"/>
      <c r="E42" s="126"/>
      <c r="F42" s="126"/>
      <c r="G42" s="126"/>
      <c r="H42" s="127"/>
      <c r="I42" s="128"/>
      <c r="J42" s="129"/>
      <c r="K42" s="130"/>
    </row>
    <row r="43" spans="1:17" s="118" customFormat="1" ht="12" customHeight="1" x14ac:dyDescent="0.3">
      <c r="A43" s="474" t="s">
        <v>162</v>
      </c>
      <c r="B43" s="475"/>
      <c r="C43" s="475"/>
      <c r="D43" s="475"/>
      <c r="E43" s="475"/>
      <c r="F43" s="475"/>
      <c r="G43" s="475"/>
      <c r="H43" s="475"/>
      <c r="I43" s="475"/>
      <c r="J43" s="475"/>
      <c r="K43" s="475"/>
      <c r="L43" s="475"/>
      <c r="M43" s="475"/>
      <c r="N43" s="117"/>
      <c r="O43" s="117"/>
      <c r="P43" s="117"/>
    </row>
    <row r="44" spans="1:17" s="118" customFormat="1" ht="12" customHeight="1" x14ac:dyDescent="0.3">
      <c r="A44" s="224"/>
      <c r="B44" s="225"/>
      <c r="C44" s="225"/>
      <c r="D44" s="225"/>
      <c r="E44" s="225"/>
      <c r="F44" s="225"/>
      <c r="G44" s="225"/>
      <c r="H44" s="225"/>
      <c r="I44" s="225"/>
      <c r="J44" s="225"/>
      <c r="K44" s="225"/>
      <c r="L44" s="225"/>
      <c r="M44" s="225"/>
      <c r="N44" s="117"/>
      <c r="O44" s="117"/>
      <c r="P44" s="117"/>
    </row>
    <row r="45" spans="1:17" s="118" customFormat="1" ht="14.25" x14ac:dyDescent="0.3">
      <c r="A45" s="158" t="s">
        <v>382</v>
      </c>
      <c r="B45" s="131"/>
      <c r="C45" s="132"/>
      <c r="D45" s="131"/>
      <c r="E45" s="131"/>
      <c r="F45" s="131"/>
      <c r="G45" s="131"/>
      <c r="H45" s="131"/>
      <c r="I45" s="131"/>
      <c r="J45" s="131"/>
      <c r="K45" s="131"/>
      <c r="L45" s="133"/>
      <c r="M45" s="133"/>
      <c r="N45" s="133"/>
      <c r="O45" s="133"/>
      <c r="P45" s="133"/>
      <c r="Q45" s="133"/>
    </row>
    <row r="46" spans="1:17" s="118" customFormat="1" ht="14.25" x14ac:dyDescent="0.3">
      <c r="A46" s="122"/>
      <c r="B46" s="131"/>
      <c r="C46" s="132"/>
      <c r="D46" s="131"/>
      <c r="E46" s="131"/>
      <c r="F46" s="131"/>
      <c r="G46" s="131"/>
      <c r="H46" s="131"/>
      <c r="I46" s="131"/>
      <c r="J46" s="131"/>
      <c r="K46" s="131"/>
      <c r="L46" s="133"/>
      <c r="M46" s="133"/>
      <c r="N46" s="133"/>
      <c r="O46" s="133"/>
      <c r="P46" s="133"/>
      <c r="Q46" s="133"/>
    </row>
    <row r="47" spans="1:17" s="75" customFormat="1" ht="13.5" x14ac:dyDescent="0.3">
      <c r="B47" s="325"/>
      <c r="C47" s="326"/>
      <c r="D47" s="327"/>
      <c r="E47" s="328"/>
      <c r="F47" s="325"/>
      <c r="G47" s="325"/>
      <c r="H47" s="325"/>
      <c r="I47" s="325"/>
      <c r="J47" s="325"/>
      <c r="K47" s="325"/>
    </row>
  </sheetData>
  <mergeCells count="5">
    <mergeCell ref="A1:K1"/>
    <mergeCell ref="A2:K2"/>
    <mergeCell ref="A3:K3"/>
    <mergeCell ref="A4:K4"/>
    <mergeCell ref="A43:M43"/>
  </mergeCells>
  <pageMargins left="0.7" right="0.7" top="0.75" bottom="0.75" header="0.3" footer="0.3"/>
  <pageSetup orientation="portrait" horizontalDpi="4294967293" verticalDpi="0" r:id="rId1"/>
  <ignoredErrors>
    <ignoredError sqref="C34:C36 G34:G36 C28:G2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3 Providers</vt:lpstr>
      <vt:lpstr>Table 4 Sources</vt:lpstr>
      <vt:lpstr>Table 5 Pgrm &amp; Admin Expend</vt:lpstr>
      <vt:lpstr>Table 6 Eligibility History</vt:lpstr>
      <vt:lpstr>Table 7 Elig. &amp; Prgm Payments</vt:lpstr>
      <vt:lpstr>Table 8 Exp by Type of Service</vt:lpstr>
      <vt:lpstr>Table 9 Exp by Eligibility Grp</vt:lpstr>
      <vt:lpstr>Table 10 Exp by Service Categ</vt:lpstr>
      <vt:lpstr>Table 11 Exp for Elderly</vt:lpstr>
      <vt:lpstr>Table 12 Exp Blind Disabled</vt:lpstr>
      <vt:lpstr>Table 13 Exp for Fam. &amp; Child.</vt:lpstr>
      <vt:lpstr>Table 14 Exp MedSol,Alien,adju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Emad Attiah</dc:creator>
  <cp:lastModifiedBy>Larry Mull</cp:lastModifiedBy>
  <dcterms:created xsi:type="dcterms:W3CDTF">2017-07-13T18:49:33Z</dcterms:created>
  <dcterms:modified xsi:type="dcterms:W3CDTF">2019-02-11T18:27:58Z</dcterms:modified>
</cp:coreProperties>
</file>